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37.xml" ContentType="application/vnd.openxmlformats-officedocument.spreadsheetml.worksheet+xml"/>
  <Override PartName="/xl/worksheets/sheet1.xml" ContentType="application/vnd.openxmlformats-officedocument.spreadsheetml.worksheet+xml"/>
  <Override PartName="/xl/worksheets/sheet3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6.xml" ContentType="application/vnd.openxmlformats-officedocument.spreadsheetml.worksheet+xml"/>
  <Override PartName="/xl/worksheets/sheet3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5.xml" ContentType="application/vnd.openxmlformats-officedocument.spreadsheetml.worksheet+xml"/>
  <Override PartName="/xl/worksheets/sheet33.xml" ContentType="application/vnd.openxmlformats-officedocument.spreadsheetml.worksheet+xml"/>
  <Override PartName="/xl/worksheets/sheet3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p3b-fssvr\Dokumen\DD 1 - Pengaturan Asuransi dan DP\2019\1_Peraturan\2_SEOJK Perubahan 1,2,3 Laporan Asuransi\0_Lampiran\Keu Sharia\"/>
    </mc:Choice>
  </mc:AlternateContent>
  <bookViews>
    <workbookView xWindow="0" yWindow="0" windowWidth="19170" windowHeight="7680" firstSheet="45" activeTab="48"/>
  </bookViews>
  <sheets>
    <sheet name="Data Umum" sheetId="1" r:id="rId1"/>
    <sheet name="Cover" sheetId="2" r:id="rId2"/>
    <sheet name="Validasi" sheetId="3" r:id="rId3"/>
    <sheet name="PPUSY" sheetId="4" r:id="rId4"/>
    <sheet name="Surat Pernyataan (TH)" sheetId="46" r:id="rId5"/>
    <sheet name="Surat Pernyataan (TW)" sheetId="47" r:id="rId6"/>
    <sheet name="Pernyataan DPS" sheetId="48" r:id="rId7"/>
    <sheet name="PPSRESU" sheetId="5" r:id="rId8"/>
    <sheet name="PPURES" sheetId="6" r:id="rId9"/>
    <sheet name="RPPRES-1" sheetId="7" r:id="rId10"/>
    <sheet name="RPPRES-2" sheetId="8" r:id="rId11"/>
    <sheet name="LPKRE-SY" sheetId="9" r:id="rId12"/>
    <sheet name="LKKRE" sheetId="10" r:id="rId13"/>
    <sheet name="LAK-R" sheetId="11" r:id="rId14"/>
    <sheet name="LPDR" sheetId="12" r:id="rId15"/>
    <sheet name="DP-R" sheetId="13" r:id="rId16"/>
    <sheet name="DP-R-1" sheetId="14" r:id="rId17"/>
    <sheet name="DTUR" sheetId="15" r:id="rId18"/>
    <sheet name="DTUR-1" sheetId="16" r:id="rId19"/>
    <sheet name="RPTSRES" sheetId="17" r:id="rId20"/>
    <sheet name="RIKSTSRU" sheetId="18" r:id="rId21"/>
    <sheet name="RKUS-RE" sheetId="19" r:id="rId22"/>
    <sheet name="RKRKRES" sheetId="20" r:id="rId23"/>
    <sheet name="RKRKRES1" sheetId="21" r:id="rId24"/>
    <sheet name="RKLRES" sheetId="22" r:id="rId25"/>
    <sheet name="RPSYA-R" sheetId="23" r:id="rId26"/>
    <sheet name="RPARES" sheetId="24" r:id="rId27"/>
    <sheet name="RPSB-R" sheetId="25" r:id="rId28"/>
    <sheet name="RPSC-R" sheetId="26" r:id="rId29"/>
    <sheet name="RSAS-R" sheetId="27" r:id="rId30"/>
    <sheet name="RSAS1-R" sheetId="28" r:id="rId31"/>
    <sheet name="RSAS2-R" sheetId="29" r:id="rId32"/>
    <sheet name="RSAS3-R" sheetId="30" r:id="rId33"/>
    <sheet name="RSAS4-R" sheetId="31" r:id="rId34"/>
    <sheet name="RSOS-R" sheetId="32" r:id="rId35"/>
    <sheet name="RA110-R" sheetId="33" r:id="rId36"/>
    <sheet name="RA120-R" sheetId="34" r:id="rId37"/>
    <sheet name="RA130-R" sheetId="35" r:id="rId38"/>
    <sheet name="RA210-RU" sheetId="36" r:id="rId39"/>
    <sheet name="RA220-R" sheetId="37" r:id="rId40"/>
    <sheet name="RA221-R" sheetId="38" r:id="rId41"/>
    <sheet name="RA222-R" sheetId="39" r:id="rId42"/>
    <sheet name="RA310-R" sheetId="40" r:id="rId43"/>
    <sheet name="RA310-1-R" sheetId="41" r:id="rId44"/>
    <sheet name="RB110-R" sheetId="42" r:id="rId45"/>
    <sheet name="RC110-RE" sheetId="43" r:id="rId46"/>
    <sheet name="RD110-R" sheetId="44" r:id="rId47"/>
    <sheet name="RD-120" sheetId="45" r:id="rId48"/>
    <sheet name="Kriteria Kep Asing" sheetId="49" r:id="rId49"/>
    <sheet name="% Kep Asing" sheetId="50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___MNP0205">[1]MNP0205!#REF!</definedName>
    <definedName name="___MNP0205">[1]MNP0205!#REF!</definedName>
    <definedName name="__MNP0205">[1]MNP0205!#REF!</definedName>
    <definedName name="__xlnm.Print_Area_2">#REF!</definedName>
    <definedName name="_Fill" localSheetId="49" hidden="1">#REF!</definedName>
    <definedName name="_Fill" localSheetId="6" hidden="1">#REF!</definedName>
    <definedName name="_Fill" localSheetId="4" hidden="1">#REF!</definedName>
    <definedName name="_Fill" localSheetId="5" hidden="1">#REF!</definedName>
    <definedName name="_Fill" hidden="1">#REF!</definedName>
    <definedName name="_Key1" localSheetId="49" hidden="1">#REF!</definedName>
    <definedName name="_Key1" localSheetId="6" hidden="1">#REF!</definedName>
    <definedName name="_Key1" localSheetId="5" hidden="1">#REF!</definedName>
    <definedName name="_Key1" hidden="1">#REF!</definedName>
    <definedName name="_Key2" localSheetId="49" hidden="1">#REF!</definedName>
    <definedName name="_Key2" localSheetId="6" hidden="1">#REF!</definedName>
    <definedName name="_Key2" localSheetId="5" hidden="1">#REF!</definedName>
    <definedName name="_Key2" hidden="1">#REF!</definedName>
    <definedName name="_MNP0205">[1]MNP0205!#REF!</definedName>
    <definedName name="_Order1" localSheetId="6" hidden="1">255</definedName>
    <definedName name="_Order1" hidden="1">0</definedName>
    <definedName name="_Order2" hidden="1">0</definedName>
    <definedName name="_Sort" localSheetId="49" hidden="1">#REF!</definedName>
    <definedName name="_Sort" localSheetId="6" hidden="1">#REF!</definedName>
    <definedName name="_Sort" localSheetId="5" hidden="1">#REF!</definedName>
    <definedName name="_Sort" hidden="1">#REF!</definedName>
    <definedName name="a">[3]MENU!$AG$2</definedName>
    <definedName name="aa">#REF!</definedName>
    <definedName name="aaaa">[4]AJP!$H$9:$H$232</definedName>
    <definedName name="ajapus">[5]AJP!$E$20:$E$65536,[5]AJP!$G$20:$H$65536</definedName>
    <definedName name="asdfasdf">[6]MENU!$AG$2</definedName>
    <definedName name="asjkdf">[4]MENU!$AG$2</definedName>
    <definedName name="asof">#REF!</definedName>
    <definedName name="awq">[7]var!$B$2</definedName>
    <definedName name="bln_ini">#REF!</definedName>
    <definedName name="break" localSheetId="49" hidden="1">#REF!</definedName>
    <definedName name="break" localSheetId="6" hidden="1">#REF!</definedName>
    <definedName name="break" localSheetId="5" hidden="1">#REF!</definedName>
    <definedName name="break" hidden="1">#REF!</definedName>
    <definedName name="Bulan" localSheetId="6">#REF!</definedName>
    <definedName name="Bulan">#REF!</definedName>
    <definedName name="CA_ID">#REF!</definedName>
    <definedName name="CEK">#REF!</definedName>
    <definedName name="CO">[5]MENU!$AF$1</definedName>
    <definedName name="cpfemrp">#REF!</definedName>
    <definedName name="cpfemud">#REF!</definedName>
    <definedName name="cpmalerp">#REF!</definedName>
    <definedName name="cpmaleud">#REF!</definedName>
    <definedName name="D" hidden="1">#REF!</definedName>
    <definedName name="_xlnm.Database">#REF!</definedName>
    <definedName name="date">[8]Date!$C$5</definedName>
    <definedName name="ddps_53" localSheetId="6">#REF!</definedName>
    <definedName name="ddps_53">#REF!</definedName>
    <definedName name="devy">#REF!</definedName>
    <definedName name="DPS" localSheetId="6">#REF!</definedName>
    <definedName name="DPS">#REF!</definedName>
    <definedName name="dpss" localSheetId="6">#REF!</definedName>
    <definedName name="dpss">#REF!</definedName>
    <definedName name="DPTH" localSheetId="6">#REF!</definedName>
    <definedName name="DPTH">#REF!</definedName>
    <definedName name="DPTI" localSheetId="6">#REF!</definedName>
    <definedName name="DPTI">#REF!</definedName>
    <definedName name="DPTK" localSheetId="6">#REF!</definedName>
    <definedName name="DPTK">#REF!</definedName>
    <definedName name="ex">#REF!</definedName>
    <definedName name="ex_local">[9]AMP!#REF!</definedName>
    <definedName name="ex_manu">[9]AMP!#REF!</definedName>
    <definedName name="Excel_BuiltIn_Database" localSheetId="6">#REF!</definedName>
    <definedName name="Excel_BuiltIn_Database">#REF!</definedName>
    <definedName name="Excel_BuiltIn_Database_1" localSheetId="6">#REF!</definedName>
    <definedName name="Excel_BuiltIn_Database_1">#REF!</definedName>
    <definedName name="Excel_BuiltIn_Print_Area_9">#REF!</definedName>
    <definedName name="EXPENSESUM">OFFSET([5]EXPENSE!$E1,0,COUNTA([5]EXPENSE!$F$5:$F$5))</definedName>
    <definedName name="FDF">OFFSET([10]EXPENSE!$E1,0,COUNTA([10]EXPENSE!$F$5:$F$5))</definedName>
    <definedName name="ffaf">#REF!</definedName>
    <definedName name="FORMAT3SUM">OFFSET('[5]FORMAT 3'!$E1,0,COUNTA('[5]FORMAT 3'!$N$7:$Q$7))</definedName>
    <definedName name="Fund1101">#REF!</definedName>
    <definedName name="gfd" localSheetId="49" hidden="1">#REF!</definedName>
    <definedName name="gfd" localSheetId="6" hidden="1">#REF!</definedName>
    <definedName name="gfd" localSheetId="5" hidden="1">#REF!</definedName>
    <definedName name="gfd" hidden="1">#REF!</definedName>
    <definedName name="Int_PS_IDR">[11]Input!$R$11</definedName>
    <definedName name="Int_PS_USD">[11]Input!$S$11</definedName>
    <definedName name="JenisPerusahaan">#REF!</definedName>
    <definedName name="Juta">[12]var!$B$2</definedName>
    <definedName name="Key">[13]IBNR_KES_04_05!$O$7:$O$25030</definedName>
    <definedName name="Key_4">[14]IBNR_KES_04_05!$O$7:$O$25030</definedName>
    <definedName name="Klaim_ret">[13]IBNR_KES_04_05!$K$7:$K$25030</definedName>
    <definedName name="Klaim_ret_4">[14]IBNR_KES_04_05!$K$7:$K$25030</definedName>
    <definedName name="kurs">[15]ID1C!$D$2</definedName>
    <definedName name="Kurs_USD">[16]KURS_USD!$B$3</definedName>
    <definedName name="Kurs_USD1998">#REF!</definedName>
    <definedName name="kurs2">[17]D2!$D$2</definedName>
    <definedName name="lsplfemrp">#REF!</definedName>
    <definedName name="lsplfemud">#REF!</definedName>
    <definedName name="lsplmalerp">#REF!</definedName>
    <definedName name="lsplmaleud">#REF!</definedName>
    <definedName name="lspufemrp">#REF!</definedName>
    <definedName name="lspufemud">#REF!</definedName>
    <definedName name="lspumalerp">#REF!</definedName>
    <definedName name="lspumaleud">#REF!</definedName>
    <definedName name="maria">#REF!</definedName>
    <definedName name="maturity" localSheetId="49" hidden="1">#REF!</definedName>
    <definedName name="maturity" localSheetId="6" hidden="1">#REF!</definedName>
    <definedName name="maturity" localSheetId="5" hidden="1">#REF!</definedName>
    <definedName name="maturity" hidden="1">#REF!</definedName>
    <definedName name="MONTH">#REF!</definedName>
    <definedName name="nama">[16]employee!$C$5</definedName>
    <definedName name="NamaPerusahaan">#REF!</definedName>
    <definedName name="NAYA">#REF!</definedName>
    <definedName name="NB_SD_122010">'[18]NBPP 2012'!#REF!</definedName>
    <definedName name="NERACA" localSheetId="6">#REF!</definedName>
    <definedName name="NERACA">#REF!</definedName>
    <definedName name="NO">OFFSET([19]reg!$B$8,0,0,COUNTA([19]reg!$B$8:$B$276),1)</definedName>
    <definedName name="NO_50">OFFSET([20]reg!$B$8,0,0,COUNTA([20]reg!$B$8:$B$276),1)</definedName>
    <definedName name="nov">#REF!</definedName>
    <definedName name="PERIOD">[5]MENU!$AG$2</definedName>
    <definedName name="Periode">[21]LPK!$B$6</definedName>
    <definedName name="plan">[22]Result!#REF!</definedName>
    <definedName name="_xlnm.Print_Area" localSheetId="49">'% Kep Asing'!$C$7:$F$16</definedName>
    <definedName name="_xlnm.Print_Area" localSheetId="48">'Kriteria Kep Asing'!$C$7:$L$17</definedName>
    <definedName name="_xlnm.Print_Area" localSheetId="6">'Pernyataan DPS'!$B$1:$H$39</definedName>
    <definedName name="_xlnm.Print_Area" localSheetId="4">'Surat Pernyataan (TH)'!$A$1:$I$48</definedName>
    <definedName name="_xlnm.Print_Area" localSheetId="5">'Surat Pernyataan (TW)'!$A$1:$I$41</definedName>
    <definedName name="_xlnm.Print_Area">#REF!</definedName>
    <definedName name="Print_Area_MI_48" localSheetId="6">#REF!</definedName>
    <definedName name="Print_Area_MI_48">#REF!</definedName>
    <definedName name="RBC_Reserve">#REF!</definedName>
    <definedName name="REPO">#REF!</definedName>
    <definedName name="Res">#REF!</definedName>
    <definedName name="Reserve___After_1099">#REF!</definedName>
    <definedName name="result">[23]result!$A$3:$BL$397</definedName>
    <definedName name="rider_index">#REF!</definedName>
    <definedName name="s">[24]TB!$A$4:$H$1641</definedName>
    <definedName name="sartika">#REF!</definedName>
    <definedName name="sd">[25]MENU!$AG$2</definedName>
    <definedName name="sources">#REF!</definedName>
    <definedName name="ssfemrp">#REF!</definedName>
    <definedName name="ssfemud">#REF!</definedName>
    <definedName name="ssmalerp">#REF!</definedName>
    <definedName name="ssmaleud">#REF!</definedName>
    <definedName name="T">#REF!</definedName>
    <definedName name="table_rate">#REF!</definedName>
    <definedName name="table1">[26]Sheet1!$A$1:$EE$2</definedName>
    <definedName name="tdrp">#REF!</definedName>
    <definedName name="tdus">#REF!</definedName>
    <definedName name="tr">#REF!</definedName>
    <definedName name="tri" localSheetId="49" hidden="1">[27]Pemisahan!#REF!</definedName>
    <definedName name="tri" localSheetId="6" hidden="1">#REF!</definedName>
    <definedName name="tri" localSheetId="4" hidden="1">[27]Pemisahan!#REF!</definedName>
    <definedName name="tri" localSheetId="5" hidden="1">[27]Pemisahan!#REF!</definedName>
    <definedName name="tri" hidden="1">[27]Pemisahan!#REF!</definedName>
    <definedName name="ttp" localSheetId="49" hidden="1">#REF!</definedName>
    <definedName name="ttp" localSheetId="6" hidden="1">#REF!</definedName>
    <definedName name="ttp" localSheetId="5" hidden="1">#REF!</definedName>
    <definedName name="ttp" hidden="1">#REF!</definedName>
    <definedName name="ttppppp">#REF!</definedName>
    <definedName name="x">[28]AJP!$E$9:$E$384</definedName>
    <definedName name="xr">'[29]Summary G400 v6'!$E$40</definedName>
    <definedName name="YrKL">[13]IBNR_KES_04_05!$P$7:$P$25030</definedName>
    <definedName name="YrKL_4">[14]IBNR_KES_04_05!$P$7:$P$25030</definedName>
    <definedName name="Z_0CA79537_71E4_43F5_968A_A604961A0577_.wvu.Cols" localSheetId="49" hidden="1">#REF!</definedName>
    <definedName name="Z_0CA79537_71E4_43F5_968A_A604961A0577_.wvu.Cols" localSheetId="6" hidden="1">#REF!</definedName>
    <definedName name="Z_0CA79537_71E4_43F5_968A_A604961A0577_.wvu.Cols" localSheetId="5" hidden="1">#REF!</definedName>
    <definedName name="Z_0CA79537_71E4_43F5_968A_A604961A0577_.wvu.Cols" hidden="1">#REF!</definedName>
  </definedNames>
  <calcPr calcId="152511"/>
</workbook>
</file>

<file path=xl/calcChain.xml><?xml version="1.0" encoding="utf-8"?>
<calcChain xmlns="http://schemas.openxmlformats.org/spreadsheetml/2006/main">
  <c r="C11" i="50" l="1"/>
  <c r="C7" i="50"/>
  <c r="C11" i="49"/>
  <c r="C7" i="49"/>
  <c r="G40" i="46"/>
  <c r="G39" i="46"/>
  <c r="L15" i="45" l="1"/>
  <c r="K15" i="45"/>
  <c r="J15" i="45"/>
  <c r="I15" i="45"/>
  <c r="H15" i="45"/>
  <c r="G15" i="45"/>
  <c r="F15" i="45"/>
  <c r="E15" i="45"/>
  <c r="I14" i="45"/>
  <c r="G14" i="45"/>
  <c r="E14" i="45"/>
  <c r="C11" i="45"/>
  <c r="C7" i="45"/>
  <c r="AA15" i="44"/>
  <c r="Z15" i="44"/>
  <c r="Y15" i="44"/>
  <c r="X15" i="44"/>
  <c r="W15" i="44"/>
  <c r="V15" i="44"/>
  <c r="U15" i="44"/>
  <c r="T15" i="44"/>
  <c r="S15" i="44"/>
  <c r="R15" i="44"/>
  <c r="Q15" i="44"/>
  <c r="P15" i="44"/>
  <c r="O15" i="44"/>
  <c r="N15" i="44"/>
  <c r="M15" i="44"/>
  <c r="L15" i="44"/>
  <c r="K15" i="44"/>
  <c r="J15" i="44"/>
  <c r="I15" i="44"/>
  <c r="H15" i="44"/>
  <c r="G15" i="44"/>
  <c r="F15" i="44"/>
  <c r="E15" i="44"/>
  <c r="R14" i="44"/>
  <c r="H14" i="44"/>
  <c r="E14" i="44"/>
  <c r="C11" i="44"/>
  <c r="C7" i="44"/>
  <c r="E35" i="43"/>
  <c r="E36" i="43" s="1"/>
  <c r="E34" i="43"/>
  <c r="E33" i="43"/>
  <c r="E32" i="43"/>
  <c r="E27" i="43"/>
  <c r="E25" i="43"/>
  <c r="E22" i="43"/>
  <c r="E21" i="43"/>
  <c r="E26" i="43" s="1"/>
  <c r="E18" i="43"/>
  <c r="E16" i="43" s="1"/>
  <c r="E14" i="43"/>
  <c r="C11" i="43"/>
  <c r="C7" i="43"/>
  <c r="T15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P14" i="42"/>
  <c r="N14" i="42"/>
  <c r="J14" i="42"/>
  <c r="H14" i="42"/>
  <c r="E14" i="42"/>
  <c r="C11" i="42"/>
  <c r="C7" i="42"/>
  <c r="G14" i="41"/>
  <c r="F14" i="41"/>
  <c r="E14" i="41"/>
  <c r="C11" i="41"/>
  <c r="C7" i="41"/>
  <c r="I20" i="40"/>
  <c r="H20" i="40"/>
  <c r="F20" i="40"/>
  <c r="E20" i="40"/>
  <c r="L19" i="40"/>
  <c r="K19" i="40"/>
  <c r="J19" i="40"/>
  <c r="G19" i="40"/>
  <c r="M19" i="40" s="1"/>
  <c r="L18" i="40"/>
  <c r="K18" i="40"/>
  <c r="J18" i="40"/>
  <c r="G18" i="40"/>
  <c r="G20" i="40" s="1"/>
  <c r="L17" i="40"/>
  <c r="K17" i="40"/>
  <c r="J17" i="40"/>
  <c r="G17" i="40"/>
  <c r="L16" i="40"/>
  <c r="K16" i="40"/>
  <c r="K20" i="40" s="1"/>
  <c r="J16" i="40"/>
  <c r="J20" i="40" s="1"/>
  <c r="G16" i="40"/>
  <c r="M16" i="40" s="1"/>
  <c r="M15" i="40"/>
  <c r="L15" i="40"/>
  <c r="K15" i="40"/>
  <c r="J15" i="40"/>
  <c r="I15" i="40"/>
  <c r="H15" i="40"/>
  <c r="G15" i="40"/>
  <c r="F15" i="40"/>
  <c r="E15" i="40"/>
  <c r="K14" i="40"/>
  <c r="H14" i="40"/>
  <c r="E14" i="40"/>
  <c r="C11" i="40"/>
  <c r="C7" i="40"/>
  <c r="F32" i="39"/>
  <c r="E32" i="39"/>
  <c r="F15" i="39"/>
  <c r="E15" i="39"/>
  <c r="E14" i="39"/>
  <c r="C11" i="39"/>
  <c r="C7" i="39"/>
  <c r="G32" i="38"/>
  <c r="F32" i="38"/>
  <c r="E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32" i="38" s="1"/>
  <c r="H18" i="38"/>
  <c r="H17" i="38"/>
  <c r="H16" i="38"/>
  <c r="H15" i="38"/>
  <c r="G15" i="38"/>
  <c r="F15" i="38"/>
  <c r="E15" i="38"/>
  <c r="E14" i="38"/>
  <c r="C11" i="38"/>
  <c r="C7" i="38"/>
  <c r="L49" i="37"/>
  <c r="K49" i="37"/>
  <c r="M49" i="37" s="1"/>
  <c r="I49" i="37"/>
  <c r="J49" i="37" s="1"/>
  <c r="G49" i="37"/>
  <c r="F49" i="37"/>
  <c r="K48" i="37"/>
  <c r="J48" i="37"/>
  <c r="I48" i="37"/>
  <c r="F48" i="37"/>
  <c r="K47" i="37"/>
  <c r="J47" i="37"/>
  <c r="I47" i="37"/>
  <c r="F47" i="37"/>
  <c r="L47" i="37" s="1"/>
  <c r="M47" i="37" s="1"/>
  <c r="K46" i="37"/>
  <c r="I46" i="37"/>
  <c r="G46" i="37"/>
  <c r="F46" i="37"/>
  <c r="L45" i="37"/>
  <c r="K45" i="37"/>
  <c r="J45" i="37"/>
  <c r="G45" i="37"/>
  <c r="K44" i="37"/>
  <c r="I44" i="37"/>
  <c r="G44" i="37"/>
  <c r="F44" i="37"/>
  <c r="L43" i="37"/>
  <c r="K43" i="37"/>
  <c r="I43" i="37"/>
  <c r="J43" i="37" s="1"/>
  <c r="G43" i="37"/>
  <c r="F43" i="37"/>
  <c r="K42" i="37"/>
  <c r="J42" i="37"/>
  <c r="I42" i="37"/>
  <c r="F42" i="37"/>
  <c r="K41" i="37"/>
  <c r="J41" i="37"/>
  <c r="I41" i="37"/>
  <c r="F41" i="37"/>
  <c r="L41" i="37" s="1"/>
  <c r="M41" i="37" s="1"/>
  <c r="K40" i="37"/>
  <c r="I40" i="37"/>
  <c r="G40" i="37"/>
  <c r="F40" i="37"/>
  <c r="L39" i="37"/>
  <c r="K39" i="37"/>
  <c r="M39" i="37" s="1"/>
  <c r="I39" i="37"/>
  <c r="J39" i="37" s="1"/>
  <c r="G39" i="37"/>
  <c r="F39" i="37"/>
  <c r="K38" i="37"/>
  <c r="J38" i="37"/>
  <c r="I38" i="37"/>
  <c r="F38" i="37"/>
  <c r="K37" i="37"/>
  <c r="J37" i="37"/>
  <c r="I37" i="37"/>
  <c r="F37" i="37"/>
  <c r="L37" i="37" s="1"/>
  <c r="M37" i="37" s="1"/>
  <c r="K36" i="37"/>
  <c r="I36" i="37"/>
  <c r="G36" i="37"/>
  <c r="F36" i="37"/>
  <c r="L35" i="37"/>
  <c r="K35" i="37"/>
  <c r="I35" i="37"/>
  <c r="J35" i="37" s="1"/>
  <c r="G35" i="37"/>
  <c r="F35" i="37"/>
  <c r="K34" i="37"/>
  <c r="J34" i="37"/>
  <c r="I34" i="37"/>
  <c r="F34" i="37"/>
  <c r="H33" i="37"/>
  <c r="F33" i="37"/>
  <c r="E33" i="37"/>
  <c r="K32" i="37"/>
  <c r="J32" i="37"/>
  <c r="I32" i="37"/>
  <c r="F32" i="37"/>
  <c r="K31" i="37"/>
  <c r="J31" i="37"/>
  <c r="I31" i="37"/>
  <c r="F31" i="37"/>
  <c r="L31" i="37" s="1"/>
  <c r="M31" i="37" s="1"/>
  <c r="K30" i="37"/>
  <c r="I30" i="37"/>
  <c r="G30" i="37"/>
  <c r="F30" i="37"/>
  <c r="L29" i="37"/>
  <c r="K29" i="37"/>
  <c r="M29" i="37" s="1"/>
  <c r="I29" i="37"/>
  <c r="J29" i="37" s="1"/>
  <c r="G29" i="37"/>
  <c r="F29" i="37"/>
  <c r="K28" i="37"/>
  <c r="J28" i="37"/>
  <c r="I28" i="37"/>
  <c r="F28" i="37"/>
  <c r="M27" i="37"/>
  <c r="L27" i="37"/>
  <c r="K27" i="37"/>
  <c r="J27" i="37"/>
  <c r="G27" i="37"/>
  <c r="K26" i="37"/>
  <c r="J26" i="37"/>
  <c r="I26" i="37"/>
  <c r="F26" i="37"/>
  <c r="K25" i="37"/>
  <c r="J25" i="37"/>
  <c r="I25" i="37"/>
  <c r="F25" i="37"/>
  <c r="L25" i="37" s="1"/>
  <c r="M25" i="37" s="1"/>
  <c r="K24" i="37"/>
  <c r="I24" i="37"/>
  <c r="G24" i="37"/>
  <c r="F24" i="37"/>
  <c r="L23" i="37"/>
  <c r="K23" i="37"/>
  <c r="M23" i="37" s="1"/>
  <c r="I23" i="37"/>
  <c r="J23" i="37" s="1"/>
  <c r="G23" i="37"/>
  <c r="F23" i="37"/>
  <c r="K22" i="37"/>
  <c r="J22" i="37"/>
  <c r="I22" i="37"/>
  <c r="F22" i="37"/>
  <c r="K21" i="37"/>
  <c r="J21" i="37"/>
  <c r="I21" i="37"/>
  <c r="F21" i="37"/>
  <c r="L21" i="37" s="1"/>
  <c r="M21" i="37" s="1"/>
  <c r="K20" i="37"/>
  <c r="I20" i="37"/>
  <c r="G20" i="37"/>
  <c r="F20" i="37"/>
  <c r="L19" i="37"/>
  <c r="K19" i="37"/>
  <c r="I19" i="37"/>
  <c r="J19" i="37" s="1"/>
  <c r="G19" i="37"/>
  <c r="F19" i="37"/>
  <c r="K18" i="37"/>
  <c r="J18" i="37"/>
  <c r="I18" i="37"/>
  <c r="F18" i="37"/>
  <c r="K17" i="37"/>
  <c r="J17" i="37"/>
  <c r="I17" i="37"/>
  <c r="F17" i="37"/>
  <c r="L17" i="37" s="1"/>
  <c r="H16" i="37"/>
  <c r="E16" i="37"/>
  <c r="M15" i="37"/>
  <c r="L15" i="37"/>
  <c r="K15" i="37"/>
  <c r="J15" i="37"/>
  <c r="I15" i="37"/>
  <c r="H15" i="37"/>
  <c r="G15" i="37"/>
  <c r="F15" i="37"/>
  <c r="E15" i="37"/>
  <c r="K14" i="37"/>
  <c r="H14" i="37"/>
  <c r="E14" i="37"/>
  <c r="C11" i="37"/>
  <c r="C7" i="37"/>
  <c r="L14" i="36"/>
  <c r="K14" i="36"/>
  <c r="J14" i="36"/>
  <c r="I14" i="36"/>
  <c r="H14" i="36"/>
  <c r="G14" i="36"/>
  <c r="F14" i="36"/>
  <c r="E14" i="36"/>
  <c r="C11" i="36"/>
  <c r="C7" i="36"/>
  <c r="I14" i="35"/>
  <c r="H14" i="35"/>
  <c r="G14" i="35"/>
  <c r="F14" i="35"/>
  <c r="E14" i="35"/>
  <c r="C11" i="35"/>
  <c r="C7" i="35"/>
  <c r="N14" i="34"/>
  <c r="M14" i="34"/>
  <c r="L14" i="34"/>
  <c r="K14" i="34"/>
  <c r="J14" i="34"/>
  <c r="I14" i="34"/>
  <c r="H14" i="34"/>
  <c r="G14" i="34"/>
  <c r="F14" i="34"/>
  <c r="E14" i="34"/>
  <c r="C11" i="34"/>
  <c r="C7" i="34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P14" i="33"/>
  <c r="N14" i="33"/>
  <c r="E14" i="33"/>
  <c r="C11" i="33"/>
  <c r="C7" i="33"/>
  <c r="F29" i="32"/>
  <c r="E29" i="32"/>
  <c r="F28" i="32"/>
  <c r="E28" i="32"/>
  <c r="F27" i="32"/>
  <c r="F26" i="32" s="1"/>
  <c r="E26" i="32"/>
  <c r="F25" i="32"/>
  <c r="E25" i="32"/>
  <c r="E24" i="32"/>
  <c r="F23" i="32"/>
  <c r="E23" i="32"/>
  <c r="F22" i="32"/>
  <c r="E22" i="32"/>
  <c r="F21" i="32"/>
  <c r="F16" i="32" s="1"/>
  <c r="E21" i="32"/>
  <c r="E20" i="32"/>
  <c r="F19" i="32"/>
  <c r="E19" i="32"/>
  <c r="E18" i="32"/>
  <c r="E17" i="32"/>
  <c r="E16" i="32"/>
  <c r="F14" i="32"/>
  <c r="E14" i="32"/>
  <c r="C11" i="32"/>
  <c r="C7" i="32"/>
  <c r="G30" i="31"/>
  <c r="F30" i="31"/>
  <c r="E30" i="31"/>
  <c r="G29" i="31"/>
  <c r="H29" i="31" s="1"/>
  <c r="H28" i="31"/>
  <c r="G28" i="31"/>
  <c r="G27" i="31"/>
  <c r="H27" i="31" s="1"/>
  <c r="H26" i="31"/>
  <c r="G26" i="31"/>
  <c r="G25" i="31"/>
  <c r="H25" i="31" s="1"/>
  <c r="H24" i="31"/>
  <c r="G24" i="31"/>
  <c r="G23" i="31"/>
  <c r="H23" i="31" s="1"/>
  <c r="H22" i="31"/>
  <c r="G22" i="31"/>
  <c r="G21" i="31"/>
  <c r="H21" i="31" s="1"/>
  <c r="H20" i="31"/>
  <c r="G20" i="31"/>
  <c r="G19" i="31"/>
  <c r="H19" i="31" s="1"/>
  <c r="H18" i="31"/>
  <c r="G18" i="31"/>
  <c r="G17" i="31"/>
  <c r="H17" i="31" s="1"/>
  <c r="H16" i="31"/>
  <c r="G16" i="31"/>
  <c r="H14" i="31"/>
  <c r="G14" i="31"/>
  <c r="F14" i="31"/>
  <c r="E14" i="31"/>
  <c r="C11" i="31"/>
  <c r="C7" i="31"/>
  <c r="G30" i="30"/>
  <c r="F30" i="30"/>
  <c r="E30" i="30"/>
  <c r="H29" i="30"/>
  <c r="G29" i="30"/>
  <c r="G28" i="30"/>
  <c r="H28" i="30" s="1"/>
  <c r="H27" i="30"/>
  <c r="G27" i="30"/>
  <c r="G26" i="30"/>
  <c r="H26" i="30" s="1"/>
  <c r="H25" i="30"/>
  <c r="G25" i="30"/>
  <c r="G24" i="30"/>
  <c r="H24" i="30" s="1"/>
  <c r="H23" i="30"/>
  <c r="G23" i="30"/>
  <c r="G22" i="30"/>
  <c r="H22" i="30" s="1"/>
  <c r="H21" i="30"/>
  <c r="G21" i="30"/>
  <c r="G20" i="30"/>
  <c r="H20" i="30" s="1"/>
  <c r="H19" i="30"/>
  <c r="G19" i="30"/>
  <c r="G18" i="30"/>
  <c r="H18" i="30" s="1"/>
  <c r="H17" i="30"/>
  <c r="G17" i="30"/>
  <c r="G16" i="30"/>
  <c r="H16" i="30" s="1"/>
  <c r="H14" i="30"/>
  <c r="G14" i="30"/>
  <c r="F14" i="30"/>
  <c r="E14" i="30"/>
  <c r="C11" i="30"/>
  <c r="C7" i="30"/>
  <c r="G30" i="29"/>
  <c r="F30" i="29"/>
  <c r="E30" i="29"/>
  <c r="G29" i="29"/>
  <c r="H29" i="29" s="1"/>
  <c r="H28" i="29"/>
  <c r="G28" i="29"/>
  <c r="G27" i="29"/>
  <c r="H27" i="29" s="1"/>
  <c r="H26" i="29"/>
  <c r="G26" i="29"/>
  <c r="G25" i="29"/>
  <c r="H25" i="29" s="1"/>
  <c r="H24" i="29"/>
  <c r="G24" i="29"/>
  <c r="G23" i="29"/>
  <c r="H23" i="29" s="1"/>
  <c r="H22" i="29"/>
  <c r="G22" i="29"/>
  <c r="G21" i="29"/>
  <c r="H21" i="29" s="1"/>
  <c r="H20" i="29"/>
  <c r="G20" i="29"/>
  <c r="G19" i="29"/>
  <c r="H19" i="29" s="1"/>
  <c r="H18" i="29"/>
  <c r="G18" i="29"/>
  <c r="G17" i="29"/>
  <c r="H17" i="29" s="1"/>
  <c r="H16" i="29"/>
  <c r="G16" i="29"/>
  <c r="H14" i="29"/>
  <c r="G14" i="29"/>
  <c r="F14" i="29"/>
  <c r="E14" i="29"/>
  <c r="C11" i="29"/>
  <c r="C7" i="29"/>
  <c r="G30" i="28"/>
  <c r="E16" i="27" s="1"/>
  <c r="F30" i="28"/>
  <c r="E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4" i="28"/>
  <c r="F14" i="28"/>
  <c r="E14" i="28"/>
  <c r="C11" i="28"/>
  <c r="C7" i="28"/>
  <c r="E14" i="27"/>
  <c r="C11" i="27"/>
  <c r="C7" i="27"/>
  <c r="F22" i="26"/>
  <c r="E22" i="26"/>
  <c r="F21" i="26"/>
  <c r="E21" i="26"/>
  <c r="E23" i="26" s="1"/>
  <c r="F20" i="26"/>
  <c r="F19" i="26"/>
  <c r="F18" i="26"/>
  <c r="E18" i="26"/>
  <c r="E17" i="26"/>
  <c r="E16" i="26"/>
  <c r="F14" i="26"/>
  <c r="E14" i="26"/>
  <c r="C11" i="26"/>
  <c r="C7" i="26"/>
  <c r="AE68" i="25"/>
  <c r="V68" i="25"/>
  <c r="M68" i="25"/>
  <c r="T66" i="25"/>
  <c r="F65" i="25"/>
  <c r="E65" i="25"/>
  <c r="AE64" i="25"/>
  <c r="V64" i="25"/>
  <c r="M64" i="25"/>
  <c r="U63" i="25"/>
  <c r="U66" i="25" s="1"/>
  <c r="T63" i="25"/>
  <c r="K63" i="25"/>
  <c r="K66" i="25" s="1"/>
  <c r="K67" i="25" s="1"/>
  <c r="I63" i="25"/>
  <c r="I66" i="25" s="1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O63" i="25" s="1"/>
  <c r="O66" i="25" s="1"/>
  <c r="N58" i="25"/>
  <c r="M58" i="25"/>
  <c r="J58" i="25"/>
  <c r="I58" i="25"/>
  <c r="H58" i="25"/>
  <c r="G58" i="25"/>
  <c r="AE57" i="25"/>
  <c r="AD57" i="25"/>
  <c r="AC57" i="25"/>
  <c r="AB57" i="25"/>
  <c r="AA57" i="25"/>
  <c r="Z57" i="25"/>
  <c r="Y57" i="25"/>
  <c r="X57" i="25"/>
  <c r="W57" i="25"/>
  <c r="V57" i="25"/>
  <c r="U57" i="25"/>
  <c r="U49" i="25" s="1"/>
  <c r="T57" i="25"/>
  <c r="S57" i="25"/>
  <c r="R57" i="25"/>
  <c r="Q57" i="25"/>
  <c r="P57" i="25"/>
  <c r="O57" i="25"/>
  <c r="N57" i="25"/>
  <c r="M57" i="25"/>
  <c r="J57" i="25"/>
  <c r="I57" i="25"/>
  <c r="H57" i="25"/>
  <c r="G57" i="25"/>
  <c r="AE56" i="25"/>
  <c r="V56" i="25"/>
  <c r="M56" i="25"/>
  <c r="AE55" i="25"/>
  <c r="V55" i="25"/>
  <c r="M55" i="25"/>
  <c r="AE54" i="25"/>
  <c r="V54" i="25"/>
  <c r="M54" i="25"/>
  <c r="AB53" i="25"/>
  <c r="AE53" i="25" s="1"/>
  <c r="AE63" i="25" s="1"/>
  <c r="V53" i="25"/>
  <c r="M53" i="25"/>
  <c r="AE52" i="25"/>
  <c r="AD52" i="25"/>
  <c r="AC52" i="25"/>
  <c r="AB52" i="25"/>
  <c r="AA52" i="25"/>
  <c r="AA63" i="25" s="1"/>
  <c r="AA66" i="25" s="1"/>
  <c r="Z52" i="25"/>
  <c r="Y52" i="25"/>
  <c r="X52" i="25"/>
  <c r="W52" i="25"/>
  <c r="V52" i="25"/>
  <c r="S52" i="25"/>
  <c r="R52" i="25"/>
  <c r="Q52" i="25"/>
  <c r="P52" i="25"/>
  <c r="P49" i="25" s="1"/>
  <c r="M52" i="25"/>
  <c r="L52" i="25"/>
  <c r="K52" i="25"/>
  <c r="J52" i="25"/>
  <c r="I52" i="25"/>
  <c r="H52" i="25"/>
  <c r="G52" i="25"/>
  <c r="F52" i="25"/>
  <c r="E52" i="25"/>
  <c r="AE51" i="25"/>
  <c r="AD51" i="25"/>
  <c r="AC51" i="25"/>
  <c r="AB51" i="25"/>
  <c r="AA51" i="25"/>
  <c r="Z51" i="25"/>
  <c r="Y51" i="25"/>
  <c r="Y63" i="25" s="1"/>
  <c r="Y66" i="25" s="1"/>
  <c r="X51" i="25"/>
  <c r="W51" i="25"/>
  <c r="V51" i="25"/>
  <c r="S51" i="25"/>
  <c r="R51" i="25"/>
  <c r="Q51" i="25"/>
  <c r="P51" i="25"/>
  <c r="P63" i="25" s="1"/>
  <c r="P66" i="25" s="1"/>
  <c r="M51" i="25"/>
  <c r="L51" i="25"/>
  <c r="K51" i="25"/>
  <c r="J51" i="25"/>
  <c r="I51" i="25"/>
  <c r="H51" i="25"/>
  <c r="G51" i="25"/>
  <c r="F51" i="25"/>
  <c r="E51" i="25"/>
  <c r="AE50" i="25"/>
  <c r="AD50" i="25"/>
  <c r="AC50" i="25"/>
  <c r="AB50" i="25"/>
  <c r="AB63" i="25" s="1"/>
  <c r="AB66" i="25" s="1"/>
  <c r="AA50" i="25"/>
  <c r="Z50" i="25"/>
  <c r="Y50" i="25"/>
  <c r="X50" i="25"/>
  <c r="X63" i="25" s="1"/>
  <c r="X66" i="25" s="1"/>
  <c r="W50" i="25"/>
  <c r="W63" i="25" s="1"/>
  <c r="W66" i="25" s="1"/>
  <c r="V50" i="25"/>
  <c r="S50" i="25"/>
  <c r="R50" i="25"/>
  <c r="Q50" i="25"/>
  <c r="Q63" i="25" s="1"/>
  <c r="Q66" i="25" s="1"/>
  <c r="P50" i="25"/>
  <c r="M50" i="25"/>
  <c r="L50" i="25"/>
  <c r="L63" i="25" s="1"/>
  <c r="L66" i="25" s="1"/>
  <c r="L67" i="25" s="1"/>
  <c r="K50" i="25"/>
  <c r="J50" i="25"/>
  <c r="I50" i="25"/>
  <c r="H50" i="25"/>
  <c r="H63" i="25" s="1"/>
  <c r="H66" i="25" s="1"/>
  <c r="G50" i="25"/>
  <c r="G63" i="25" s="1"/>
  <c r="G66" i="25" s="1"/>
  <c r="F50" i="25"/>
  <c r="E50" i="25"/>
  <c r="AB49" i="25"/>
  <c r="AA49" i="25"/>
  <c r="W49" i="25"/>
  <c r="T49" i="25"/>
  <c r="S49" i="25"/>
  <c r="O49" i="25"/>
  <c r="L49" i="25"/>
  <c r="K49" i="25"/>
  <c r="G49" i="25"/>
  <c r="N48" i="25"/>
  <c r="N65" i="25" s="1"/>
  <c r="L48" i="25"/>
  <c r="L65" i="25" s="1"/>
  <c r="K48" i="25"/>
  <c r="K65" i="25" s="1"/>
  <c r="F48" i="25"/>
  <c r="E48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J47" i="25"/>
  <c r="I47" i="25"/>
  <c r="H47" i="25"/>
  <c r="G47" i="25"/>
  <c r="AE46" i="25"/>
  <c r="AD46" i="25"/>
  <c r="AC46" i="25"/>
  <c r="AC16" i="25" s="1"/>
  <c r="AB46" i="25"/>
  <c r="AA46" i="25"/>
  <c r="Z46" i="25"/>
  <c r="Y46" i="25"/>
  <c r="X46" i="25"/>
  <c r="W46" i="25"/>
  <c r="V46" i="25"/>
  <c r="U46" i="25"/>
  <c r="T46" i="25"/>
  <c r="S46" i="25"/>
  <c r="R46" i="25"/>
  <c r="Q46" i="25"/>
  <c r="Q16" i="25" s="1"/>
  <c r="P46" i="25"/>
  <c r="O46" i="25"/>
  <c r="N46" i="25"/>
  <c r="M46" i="25"/>
  <c r="J46" i="25"/>
  <c r="I46" i="25"/>
  <c r="H46" i="25"/>
  <c r="G46" i="25"/>
  <c r="G16" i="25" s="1"/>
  <c r="AE45" i="25"/>
  <c r="V45" i="25"/>
  <c r="M45" i="25"/>
  <c r="AE44" i="25"/>
  <c r="V44" i="25"/>
  <c r="M44" i="25"/>
  <c r="AE43" i="25"/>
  <c r="V43" i="25"/>
  <c r="M43" i="25"/>
  <c r="AE42" i="25"/>
  <c r="V42" i="25"/>
  <c r="M42" i="25"/>
  <c r="AD41" i="25"/>
  <c r="AC41" i="25"/>
  <c r="AB41" i="25"/>
  <c r="AA41" i="25"/>
  <c r="Z41" i="25"/>
  <c r="Y41" i="25"/>
  <c r="X41" i="25"/>
  <c r="W41" i="25"/>
  <c r="V41" i="25"/>
  <c r="M41" i="25"/>
  <c r="AE40" i="25"/>
  <c r="V40" i="25"/>
  <c r="M40" i="25"/>
  <c r="AE39" i="25"/>
  <c r="V39" i="25"/>
  <c r="M39" i="25"/>
  <c r="AE38" i="25"/>
  <c r="V38" i="25"/>
  <c r="M38" i="25"/>
  <c r="AE37" i="25"/>
  <c r="V37" i="25"/>
  <c r="M37" i="25"/>
  <c r="AE36" i="25"/>
  <c r="V36" i="25"/>
  <c r="M36" i="25"/>
  <c r="AE35" i="25"/>
  <c r="V35" i="25"/>
  <c r="M35" i="25"/>
  <c r="AE34" i="25"/>
  <c r="V34" i="25"/>
  <c r="M34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J33" i="25"/>
  <c r="I33" i="25"/>
  <c r="H33" i="25"/>
  <c r="G33" i="25"/>
  <c r="AE32" i="25"/>
  <c r="AD32" i="25"/>
  <c r="AC32" i="25"/>
  <c r="AB32" i="25"/>
  <c r="AA32" i="25"/>
  <c r="Z32" i="25"/>
  <c r="Y32" i="25"/>
  <c r="Y16" i="25" s="1"/>
  <c r="X32" i="25"/>
  <c r="W32" i="25"/>
  <c r="V32" i="25"/>
  <c r="U32" i="25"/>
  <c r="T32" i="25"/>
  <c r="S32" i="25"/>
  <c r="R32" i="25"/>
  <c r="Q32" i="25"/>
  <c r="P32" i="25"/>
  <c r="O32" i="25"/>
  <c r="O48" i="25" s="1"/>
  <c r="O65" i="25" s="1"/>
  <c r="N32" i="25"/>
  <c r="M32" i="25"/>
  <c r="J32" i="25"/>
  <c r="I32" i="25"/>
  <c r="H32" i="25"/>
  <c r="G32" i="25"/>
  <c r="AE31" i="25"/>
  <c r="AD31" i="25"/>
  <c r="AD16" i="25" s="1"/>
  <c r="AC31" i="25"/>
  <c r="AB31" i="25"/>
  <c r="AA31" i="25"/>
  <c r="Z31" i="25"/>
  <c r="Z48" i="25" s="1"/>
  <c r="Z65" i="25" s="1"/>
  <c r="Y31" i="25"/>
  <c r="X31" i="25"/>
  <c r="W31" i="25"/>
  <c r="V31" i="25"/>
  <c r="U31" i="25"/>
  <c r="T31" i="25"/>
  <c r="S31" i="25"/>
  <c r="R31" i="25"/>
  <c r="Q31" i="25"/>
  <c r="P31" i="25"/>
  <c r="O31" i="25"/>
  <c r="N31" i="25"/>
  <c r="N16" i="25" s="1"/>
  <c r="M31" i="25"/>
  <c r="J31" i="25"/>
  <c r="J48" i="25" s="1"/>
  <c r="J65" i="25" s="1"/>
  <c r="I31" i="25"/>
  <c r="H31" i="25"/>
  <c r="G31" i="25"/>
  <c r="AE30" i="25"/>
  <c r="V30" i="25"/>
  <c r="M30" i="25"/>
  <c r="AE29" i="25"/>
  <c r="V29" i="25"/>
  <c r="M29" i="25"/>
  <c r="AE28" i="25"/>
  <c r="V28" i="25"/>
  <c r="M28" i="25"/>
  <c r="AE27" i="25"/>
  <c r="V27" i="25"/>
  <c r="M27" i="25"/>
  <c r="AE26" i="25"/>
  <c r="V26" i="25"/>
  <c r="M26" i="25"/>
  <c r="AE25" i="25"/>
  <c r="V25" i="25"/>
  <c r="M25" i="25"/>
  <c r="AE24" i="25"/>
  <c r="V24" i="25"/>
  <c r="M24" i="25"/>
  <c r="AE23" i="25"/>
  <c r="V23" i="25"/>
  <c r="M23" i="25"/>
  <c r="AE22" i="25"/>
  <c r="V22" i="25"/>
  <c r="M22" i="25"/>
  <c r="AE21" i="25"/>
  <c r="V21" i="25"/>
  <c r="M21" i="25"/>
  <c r="AE20" i="25"/>
  <c r="V20" i="25"/>
  <c r="M20" i="25"/>
  <c r="AE19" i="25"/>
  <c r="V19" i="25"/>
  <c r="V48" i="25" s="1"/>
  <c r="M19" i="25"/>
  <c r="AE18" i="25"/>
  <c r="V18" i="25"/>
  <c r="M18" i="25"/>
  <c r="M48" i="25" s="1"/>
  <c r="AE17" i="25"/>
  <c r="V17" i="25"/>
  <c r="M17" i="25"/>
  <c r="U16" i="25"/>
  <c r="L16" i="25"/>
  <c r="K16" i="25"/>
  <c r="F16" i="25"/>
  <c r="E16" i="25"/>
  <c r="AE15" i="25"/>
  <c r="AD15" i="25"/>
  <c r="AC15" i="25"/>
  <c r="AC68" i="25" s="1"/>
  <c r="AB15" i="25"/>
  <c r="AA15" i="25"/>
  <c r="Z15" i="25"/>
  <c r="Y15" i="25"/>
  <c r="X15" i="25"/>
  <c r="W15" i="25"/>
  <c r="V15" i="25"/>
  <c r="U15" i="25"/>
  <c r="T15" i="25"/>
  <c r="T68" i="25" s="1"/>
  <c r="S15" i="25"/>
  <c r="R15" i="25"/>
  <c r="Q15" i="25"/>
  <c r="P15" i="25"/>
  <c r="O15" i="25"/>
  <c r="N15" i="25"/>
  <c r="M15" i="25"/>
  <c r="L15" i="25"/>
  <c r="L68" i="25" s="1"/>
  <c r="K15" i="25"/>
  <c r="K68" i="25" s="1"/>
  <c r="J15" i="25"/>
  <c r="I15" i="25"/>
  <c r="H15" i="25"/>
  <c r="G15" i="25"/>
  <c r="F15" i="25"/>
  <c r="E15" i="25"/>
  <c r="W14" i="25"/>
  <c r="N14" i="25"/>
  <c r="E14" i="25"/>
  <c r="C11" i="25"/>
  <c r="C7" i="25"/>
  <c r="H49" i="24"/>
  <c r="K48" i="24"/>
  <c r="K47" i="24" s="1"/>
  <c r="I48" i="24"/>
  <c r="I47" i="24" s="1"/>
  <c r="H48" i="24"/>
  <c r="J48" i="24" s="1"/>
  <c r="J47" i="24" s="1"/>
  <c r="H47" i="24"/>
  <c r="G47" i="24"/>
  <c r="F47" i="24"/>
  <c r="E47" i="24"/>
  <c r="K46" i="24"/>
  <c r="H46" i="24"/>
  <c r="I46" i="24" s="1"/>
  <c r="K45" i="24"/>
  <c r="J45" i="24"/>
  <c r="H45" i="24"/>
  <c r="I45" i="24" s="1"/>
  <c r="H44" i="24"/>
  <c r="H43" i="24"/>
  <c r="I43" i="24" s="1"/>
  <c r="K42" i="24"/>
  <c r="H42" i="24"/>
  <c r="I42" i="24" s="1"/>
  <c r="H41" i="24"/>
  <c r="G41" i="24"/>
  <c r="F41" i="24"/>
  <c r="E41" i="24"/>
  <c r="K40" i="24"/>
  <c r="J40" i="24"/>
  <c r="I40" i="24"/>
  <c r="H40" i="24"/>
  <c r="K39" i="24"/>
  <c r="J39" i="24"/>
  <c r="I39" i="24"/>
  <c r="H39" i="24"/>
  <c r="K38" i="24"/>
  <c r="J38" i="24"/>
  <c r="I38" i="24"/>
  <c r="H38" i="24"/>
  <c r="G38" i="24"/>
  <c r="F38" i="24"/>
  <c r="E38" i="24"/>
  <c r="J37" i="24"/>
  <c r="H37" i="24"/>
  <c r="K37" i="24" s="1"/>
  <c r="J36" i="24"/>
  <c r="I36" i="24"/>
  <c r="H36" i="24"/>
  <c r="K36" i="24" s="1"/>
  <c r="H35" i="24"/>
  <c r="H34" i="24"/>
  <c r="K34" i="24" s="1"/>
  <c r="J33" i="24"/>
  <c r="H33" i="24"/>
  <c r="K33" i="24" s="1"/>
  <c r="K32" i="24"/>
  <c r="J32" i="24"/>
  <c r="H32" i="24"/>
  <c r="I32" i="24" s="1"/>
  <c r="H31" i="24"/>
  <c r="G31" i="24"/>
  <c r="F31" i="24"/>
  <c r="E31" i="24"/>
  <c r="K30" i="24"/>
  <c r="J30" i="24"/>
  <c r="I30" i="24"/>
  <c r="K29" i="24"/>
  <c r="J29" i="24"/>
  <c r="I29" i="24"/>
  <c r="K28" i="24"/>
  <c r="K27" i="24" s="1"/>
  <c r="K23" i="24" s="1"/>
  <c r="J28" i="24"/>
  <c r="I28" i="24"/>
  <c r="I27" i="24" s="1"/>
  <c r="J27" i="24"/>
  <c r="J23" i="24" s="1"/>
  <c r="H27" i="24"/>
  <c r="G27" i="24"/>
  <c r="G23" i="24" s="1"/>
  <c r="F27" i="24"/>
  <c r="F23" i="24" s="1"/>
  <c r="E27" i="24"/>
  <c r="K26" i="24"/>
  <c r="J26" i="24"/>
  <c r="I26" i="24"/>
  <c r="H26" i="24"/>
  <c r="K25" i="24"/>
  <c r="J25" i="24"/>
  <c r="I25" i="24"/>
  <c r="H25" i="24"/>
  <c r="K24" i="24"/>
  <c r="J24" i="24"/>
  <c r="I24" i="24"/>
  <c r="I23" i="24" s="1"/>
  <c r="H24" i="24"/>
  <c r="H23" i="24"/>
  <c r="E23" i="24"/>
  <c r="H22" i="24"/>
  <c r="H21" i="24"/>
  <c r="H20" i="24"/>
  <c r="H19" i="24"/>
  <c r="H18" i="24"/>
  <c r="H17" i="24"/>
  <c r="G17" i="24"/>
  <c r="F17" i="24"/>
  <c r="E17" i="24"/>
  <c r="H16" i="24"/>
  <c r="G16" i="24"/>
  <c r="G49" i="24" s="1"/>
  <c r="K15" i="24"/>
  <c r="J15" i="24"/>
  <c r="I15" i="24"/>
  <c r="H15" i="24"/>
  <c r="G15" i="24"/>
  <c r="F15" i="24"/>
  <c r="E15" i="24"/>
  <c r="I14" i="24"/>
  <c r="H14" i="24"/>
  <c r="E14" i="24"/>
  <c r="C11" i="24"/>
  <c r="C7" i="24"/>
  <c r="G19" i="23"/>
  <c r="E18" i="23"/>
  <c r="H15" i="23"/>
  <c r="G15" i="23"/>
  <c r="F15" i="23"/>
  <c r="E15" i="23"/>
  <c r="H14" i="23"/>
  <c r="E14" i="23"/>
  <c r="C11" i="23"/>
  <c r="C7" i="23"/>
  <c r="V69" i="22"/>
  <c r="P69" i="22"/>
  <c r="J69" i="22"/>
  <c r="V68" i="22"/>
  <c r="U68" i="22"/>
  <c r="T68" i="22"/>
  <c r="S68" i="22"/>
  <c r="R68" i="22"/>
  <c r="Q68" i="22"/>
  <c r="P68" i="22"/>
  <c r="J68" i="22"/>
  <c r="I68" i="22"/>
  <c r="H68" i="22"/>
  <c r="G68" i="22"/>
  <c r="F68" i="22"/>
  <c r="E68" i="22"/>
  <c r="V67" i="22"/>
  <c r="U67" i="22"/>
  <c r="T67" i="22"/>
  <c r="S67" i="22"/>
  <c r="R67" i="22"/>
  <c r="Q67" i="22"/>
  <c r="P67" i="22"/>
  <c r="J67" i="22"/>
  <c r="I67" i="22"/>
  <c r="I62" i="22" s="1"/>
  <c r="H67" i="22"/>
  <c r="G67" i="22"/>
  <c r="F67" i="22"/>
  <c r="E67" i="22"/>
  <c r="V66" i="22"/>
  <c r="U66" i="22"/>
  <c r="T66" i="22"/>
  <c r="S66" i="22"/>
  <c r="R66" i="22"/>
  <c r="Q66" i="22"/>
  <c r="P66" i="22"/>
  <c r="J66" i="22"/>
  <c r="I66" i="22"/>
  <c r="H66" i="22"/>
  <c r="G66" i="22"/>
  <c r="G62" i="22" s="1"/>
  <c r="F66" i="22"/>
  <c r="F62" i="22" s="1"/>
  <c r="E66" i="22"/>
  <c r="V65" i="22"/>
  <c r="U65" i="22"/>
  <c r="T65" i="22"/>
  <c r="T62" i="22" s="1"/>
  <c r="S65" i="22"/>
  <c r="R65" i="22"/>
  <c r="Q65" i="22"/>
  <c r="Q62" i="22" s="1"/>
  <c r="Q53" i="22" s="1"/>
  <c r="P65" i="22"/>
  <c r="J65" i="22"/>
  <c r="I65" i="22"/>
  <c r="H65" i="22"/>
  <c r="G65" i="22"/>
  <c r="F65" i="22"/>
  <c r="E65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V63" i="22"/>
  <c r="U63" i="22"/>
  <c r="T63" i="22"/>
  <c r="S63" i="22"/>
  <c r="R63" i="22"/>
  <c r="Q63" i="22"/>
  <c r="P63" i="22"/>
  <c r="O63" i="22"/>
  <c r="O62" i="22" s="1"/>
  <c r="O53" i="22" s="1"/>
  <c r="N63" i="22"/>
  <c r="M63" i="22"/>
  <c r="L63" i="22"/>
  <c r="K63" i="22"/>
  <c r="J63" i="22"/>
  <c r="U62" i="22"/>
  <c r="U53" i="22" s="1"/>
  <c r="S62" i="22"/>
  <c r="P62" i="22"/>
  <c r="M62" i="22"/>
  <c r="L62" i="22"/>
  <c r="K62" i="22"/>
  <c r="K53" i="22" s="1"/>
  <c r="H62" i="22"/>
  <c r="E62" i="22"/>
  <c r="V61" i="22"/>
  <c r="P61" i="22"/>
  <c r="J61" i="22"/>
  <c r="V60" i="22"/>
  <c r="P60" i="22"/>
  <c r="J60" i="22"/>
  <c r="V59" i="22"/>
  <c r="P59" i="22"/>
  <c r="J59" i="22"/>
  <c r="V58" i="22"/>
  <c r="P58" i="22"/>
  <c r="J58" i="22"/>
  <c r="V57" i="22"/>
  <c r="P57" i="22"/>
  <c r="J57" i="22"/>
  <c r="V56" i="22"/>
  <c r="V54" i="22" s="1"/>
  <c r="P56" i="22"/>
  <c r="J56" i="22"/>
  <c r="V55" i="22"/>
  <c r="P55" i="22"/>
  <c r="P54" i="22" s="1"/>
  <c r="P53" i="22" s="1"/>
  <c r="I55" i="22"/>
  <c r="H55" i="22"/>
  <c r="G55" i="22"/>
  <c r="F55" i="22"/>
  <c r="F54" i="22" s="1"/>
  <c r="E55" i="22"/>
  <c r="J55" i="22" s="1"/>
  <c r="U54" i="22"/>
  <c r="T54" i="22"/>
  <c r="S54" i="22"/>
  <c r="R54" i="22"/>
  <c r="Q54" i="22"/>
  <c r="O54" i="22"/>
  <c r="N54" i="22"/>
  <c r="M54" i="22"/>
  <c r="M53" i="22" s="1"/>
  <c r="L54" i="22"/>
  <c r="L53" i="22" s="1"/>
  <c r="K54" i="22"/>
  <c r="I54" i="22"/>
  <c r="H54" i="22"/>
  <c r="G54" i="22"/>
  <c r="G53" i="22" s="1"/>
  <c r="S53" i="22"/>
  <c r="I53" i="22"/>
  <c r="F53" i="22"/>
  <c r="U52" i="22"/>
  <c r="L52" i="22"/>
  <c r="F52" i="22"/>
  <c r="V51" i="22"/>
  <c r="P51" i="22"/>
  <c r="J51" i="22"/>
  <c r="V50" i="22"/>
  <c r="P50" i="22"/>
  <c r="J50" i="22"/>
  <c r="V49" i="22"/>
  <c r="U49" i="22"/>
  <c r="T49" i="22"/>
  <c r="S49" i="22"/>
  <c r="R49" i="22"/>
  <c r="Q49" i="22"/>
  <c r="P49" i="22"/>
  <c r="O49" i="22"/>
  <c r="N49" i="22"/>
  <c r="M49" i="22"/>
  <c r="L49" i="22"/>
  <c r="L39" i="22" s="1"/>
  <c r="K49" i="22"/>
  <c r="J49" i="22"/>
  <c r="V48" i="22"/>
  <c r="U48" i="22"/>
  <c r="U39" i="22" s="1"/>
  <c r="T48" i="22"/>
  <c r="S48" i="22"/>
  <c r="R48" i="22"/>
  <c r="Q48" i="22"/>
  <c r="Q39" i="22" s="1"/>
  <c r="P48" i="22"/>
  <c r="O48" i="22"/>
  <c r="N48" i="22"/>
  <c r="N39" i="22" s="1"/>
  <c r="M48" i="22"/>
  <c r="M39" i="22" s="1"/>
  <c r="L48" i="22"/>
  <c r="K48" i="22"/>
  <c r="J48" i="22"/>
  <c r="V47" i="22"/>
  <c r="P47" i="22"/>
  <c r="J47" i="22"/>
  <c r="V46" i="22"/>
  <c r="P46" i="22"/>
  <c r="J46" i="22"/>
  <c r="V45" i="22"/>
  <c r="P45" i="22"/>
  <c r="J45" i="22"/>
  <c r="V44" i="22"/>
  <c r="P44" i="22"/>
  <c r="J44" i="22"/>
  <c r="U43" i="22"/>
  <c r="T43" i="22"/>
  <c r="S43" i="22"/>
  <c r="R43" i="22"/>
  <c r="R39" i="22" s="1"/>
  <c r="Q43" i="22"/>
  <c r="P43" i="22"/>
  <c r="J43" i="22"/>
  <c r="V42" i="22"/>
  <c r="P42" i="22"/>
  <c r="J42" i="22"/>
  <c r="V41" i="22"/>
  <c r="P41" i="22"/>
  <c r="P39" i="22" s="1"/>
  <c r="P16" i="22" s="1"/>
  <c r="P70" i="22" s="1"/>
  <c r="J41" i="22"/>
  <c r="V40" i="22"/>
  <c r="P40" i="22"/>
  <c r="J40" i="22"/>
  <c r="J39" i="22" s="1"/>
  <c r="S39" i="22"/>
  <c r="O39" i="22"/>
  <c r="K39" i="22"/>
  <c r="I39" i="22"/>
  <c r="I16" i="22" s="1"/>
  <c r="H39" i="22"/>
  <c r="G39" i="22"/>
  <c r="F39" i="22"/>
  <c r="E39" i="22"/>
  <c r="E16" i="22" s="1"/>
  <c r="V38" i="22"/>
  <c r="P38" i="22"/>
  <c r="J38" i="22"/>
  <c r="V37" i="22"/>
  <c r="P37" i="22"/>
  <c r="J37" i="22"/>
  <c r="V36" i="22"/>
  <c r="P36" i="22"/>
  <c r="J36" i="22"/>
  <c r="V35" i="22"/>
  <c r="P35" i="22"/>
  <c r="J35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V32" i="22"/>
  <c r="U32" i="22"/>
  <c r="U17" i="22" s="1"/>
  <c r="U16" i="22" s="1"/>
  <c r="U70" i="22" s="1"/>
  <c r="T32" i="22"/>
  <c r="S32" i="22"/>
  <c r="S17" i="22" s="1"/>
  <c r="R32" i="22"/>
  <c r="Q32" i="22"/>
  <c r="Q17" i="22" s="1"/>
  <c r="Q16" i="22" s="1"/>
  <c r="Q70" i="22" s="1"/>
  <c r="P32" i="22"/>
  <c r="O32" i="22"/>
  <c r="O17" i="22" s="1"/>
  <c r="O16" i="22" s="1"/>
  <c r="O70" i="22" s="1"/>
  <c r="N32" i="22"/>
  <c r="M32" i="22"/>
  <c r="M17" i="22" s="1"/>
  <c r="M16" i="22" s="1"/>
  <c r="L32" i="22"/>
  <c r="K32" i="22"/>
  <c r="K17" i="22" s="1"/>
  <c r="J32" i="22"/>
  <c r="V31" i="22"/>
  <c r="P31" i="22"/>
  <c r="J31" i="22"/>
  <c r="V30" i="22"/>
  <c r="P30" i="22"/>
  <c r="J30" i="22"/>
  <c r="V29" i="22"/>
  <c r="P29" i="22"/>
  <c r="J29" i="22"/>
  <c r="V28" i="22"/>
  <c r="P28" i="22"/>
  <c r="J28" i="22"/>
  <c r="V27" i="22"/>
  <c r="P27" i="22"/>
  <c r="J27" i="22"/>
  <c r="V26" i="22"/>
  <c r="P26" i="22"/>
  <c r="J26" i="22"/>
  <c r="V25" i="22"/>
  <c r="P25" i="22"/>
  <c r="J25" i="22"/>
  <c r="V24" i="22"/>
  <c r="P24" i="22"/>
  <c r="J24" i="22"/>
  <c r="V23" i="22"/>
  <c r="P23" i="22"/>
  <c r="J23" i="22"/>
  <c r="V22" i="22"/>
  <c r="P22" i="22"/>
  <c r="J22" i="22"/>
  <c r="V21" i="22"/>
  <c r="P21" i="22"/>
  <c r="J21" i="22"/>
  <c r="V20" i="22"/>
  <c r="P20" i="22"/>
  <c r="P17" i="22" s="1"/>
  <c r="J20" i="22"/>
  <c r="V19" i="22"/>
  <c r="P19" i="22"/>
  <c r="J19" i="22"/>
  <c r="V18" i="22"/>
  <c r="P18" i="22"/>
  <c r="J18" i="22"/>
  <c r="V17" i="22"/>
  <c r="T17" i="22"/>
  <c r="R17" i="22"/>
  <c r="R16" i="22" s="1"/>
  <c r="N17" i="22"/>
  <c r="N16" i="22" s="1"/>
  <c r="L17" i="22"/>
  <c r="J17" i="22"/>
  <c r="J16" i="22" s="1"/>
  <c r="I17" i="22"/>
  <c r="H17" i="22"/>
  <c r="G17" i="22"/>
  <c r="G16" i="22" s="1"/>
  <c r="G70" i="22" s="1"/>
  <c r="F17" i="22"/>
  <c r="F16" i="22" s="1"/>
  <c r="F70" i="22" s="1"/>
  <c r="E17" i="22"/>
  <c r="L16" i="22"/>
  <c r="L70" i="22" s="1"/>
  <c r="H16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Q14" i="22"/>
  <c r="O14" i="22"/>
  <c r="M14" i="22"/>
  <c r="K14" i="22"/>
  <c r="E14" i="22"/>
  <c r="C11" i="22"/>
  <c r="C7" i="22"/>
  <c r="J115" i="21"/>
  <c r="I115" i="21"/>
  <c r="K115" i="21" s="1"/>
  <c r="K114" i="21"/>
  <c r="J114" i="21"/>
  <c r="I114" i="21"/>
  <c r="J113" i="21"/>
  <c r="K113" i="21" s="1"/>
  <c r="I113" i="21"/>
  <c r="J112" i="21"/>
  <c r="I112" i="21"/>
  <c r="K112" i="21" s="1"/>
  <c r="J111" i="21"/>
  <c r="I111" i="21"/>
  <c r="K111" i="21" s="1"/>
  <c r="K110" i="21"/>
  <c r="J110" i="21"/>
  <c r="I110" i="21"/>
  <c r="J109" i="21"/>
  <c r="K109" i="21" s="1"/>
  <c r="I109" i="21"/>
  <c r="J108" i="21"/>
  <c r="I108" i="21"/>
  <c r="K108" i="21" s="1"/>
  <c r="J107" i="21"/>
  <c r="I107" i="21"/>
  <c r="K107" i="21" s="1"/>
  <c r="K106" i="21"/>
  <c r="J106" i="21"/>
  <c r="I106" i="21"/>
  <c r="J105" i="21"/>
  <c r="K105" i="21" s="1"/>
  <c r="I105" i="21"/>
  <c r="J104" i="21"/>
  <c r="I104" i="21"/>
  <c r="K104" i="21" s="1"/>
  <c r="J103" i="21"/>
  <c r="I103" i="21"/>
  <c r="K103" i="21" s="1"/>
  <c r="K102" i="21"/>
  <c r="J102" i="21"/>
  <c r="I102" i="21"/>
  <c r="J101" i="21"/>
  <c r="K101" i="21" s="1"/>
  <c r="I101" i="21"/>
  <c r="J100" i="21"/>
  <c r="I100" i="21"/>
  <c r="K100" i="21" s="1"/>
  <c r="J99" i="21"/>
  <c r="I99" i="21"/>
  <c r="K99" i="21" s="1"/>
  <c r="K98" i="21"/>
  <c r="J98" i="21"/>
  <c r="I98" i="21"/>
  <c r="J97" i="21"/>
  <c r="K97" i="21" s="1"/>
  <c r="I97" i="21"/>
  <c r="J96" i="21"/>
  <c r="I96" i="21"/>
  <c r="K96" i="21" s="1"/>
  <c r="J95" i="21"/>
  <c r="I95" i="21"/>
  <c r="K95" i="21" s="1"/>
  <c r="K94" i="21"/>
  <c r="J94" i="21"/>
  <c r="I94" i="21"/>
  <c r="J93" i="21"/>
  <c r="K93" i="21" s="1"/>
  <c r="I93" i="21"/>
  <c r="J92" i="21"/>
  <c r="I92" i="21"/>
  <c r="K92" i="21" s="1"/>
  <c r="J91" i="21"/>
  <c r="I91" i="21"/>
  <c r="K91" i="21" s="1"/>
  <c r="K90" i="21"/>
  <c r="J90" i="21"/>
  <c r="I90" i="21"/>
  <c r="J89" i="21"/>
  <c r="K89" i="21" s="1"/>
  <c r="I89" i="21"/>
  <c r="J88" i="21"/>
  <c r="I88" i="21"/>
  <c r="K88" i="21" s="1"/>
  <c r="J87" i="21"/>
  <c r="I87" i="21"/>
  <c r="K87" i="21" s="1"/>
  <c r="K86" i="21"/>
  <c r="J86" i="21"/>
  <c r="I86" i="21"/>
  <c r="J85" i="21"/>
  <c r="K85" i="21" s="1"/>
  <c r="I85" i="21"/>
  <c r="J84" i="21"/>
  <c r="I84" i="21"/>
  <c r="K84" i="21" s="1"/>
  <c r="J83" i="21"/>
  <c r="I83" i="21"/>
  <c r="K83" i="21" s="1"/>
  <c r="K82" i="21"/>
  <c r="J82" i="21"/>
  <c r="I82" i="21"/>
  <c r="J81" i="21"/>
  <c r="K81" i="21" s="1"/>
  <c r="I81" i="21"/>
  <c r="J80" i="21"/>
  <c r="I80" i="21"/>
  <c r="K80" i="21" s="1"/>
  <c r="J79" i="21"/>
  <c r="I79" i="21"/>
  <c r="K79" i="21" s="1"/>
  <c r="K78" i="21"/>
  <c r="J78" i="21"/>
  <c r="I78" i="21"/>
  <c r="J77" i="21"/>
  <c r="K77" i="21" s="1"/>
  <c r="I77" i="21"/>
  <c r="J76" i="21"/>
  <c r="I76" i="21"/>
  <c r="K76" i="21" s="1"/>
  <c r="J75" i="21"/>
  <c r="I75" i="21"/>
  <c r="K75" i="21" s="1"/>
  <c r="K74" i="21"/>
  <c r="J74" i="21"/>
  <c r="I74" i="21"/>
  <c r="J73" i="21"/>
  <c r="K73" i="21" s="1"/>
  <c r="I73" i="21"/>
  <c r="J72" i="21"/>
  <c r="I72" i="21"/>
  <c r="K72" i="21" s="1"/>
  <c r="J71" i="21"/>
  <c r="I71" i="21"/>
  <c r="K71" i="21" s="1"/>
  <c r="K70" i="21"/>
  <c r="J70" i="21"/>
  <c r="I70" i="21"/>
  <c r="J69" i="21"/>
  <c r="K69" i="21" s="1"/>
  <c r="I69" i="21"/>
  <c r="J68" i="21"/>
  <c r="I68" i="21"/>
  <c r="K68" i="21" s="1"/>
  <c r="J67" i="21"/>
  <c r="I67" i="21"/>
  <c r="K67" i="21" s="1"/>
  <c r="K66" i="21"/>
  <c r="J66" i="21"/>
  <c r="I66" i="21"/>
  <c r="J65" i="21"/>
  <c r="K65" i="21" s="1"/>
  <c r="I65" i="21"/>
  <c r="J64" i="21"/>
  <c r="I64" i="21"/>
  <c r="K64" i="21" s="1"/>
  <c r="J63" i="21"/>
  <c r="I63" i="21"/>
  <c r="K63" i="21" s="1"/>
  <c r="K62" i="21"/>
  <c r="J62" i="21"/>
  <c r="I62" i="21"/>
  <c r="J61" i="21"/>
  <c r="K61" i="21" s="1"/>
  <c r="I61" i="21"/>
  <c r="J60" i="21"/>
  <c r="I60" i="21"/>
  <c r="K60" i="21" s="1"/>
  <c r="J59" i="21"/>
  <c r="I59" i="21"/>
  <c r="K59" i="21" s="1"/>
  <c r="K58" i="21"/>
  <c r="J58" i="21"/>
  <c r="I58" i="21"/>
  <c r="J57" i="21"/>
  <c r="K57" i="21" s="1"/>
  <c r="I57" i="21"/>
  <c r="J56" i="21"/>
  <c r="I56" i="21"/>
  <c r="K56" i="21" s="1"/>
  <c r="J55" i="21"/>
  <c r="I55" i="21"/>
  <c r="K55" i="21" s="1"/>
  <c r="K54" i="21"/>
  <c r="J54" i="21"/>
  <c r="I54" i="21"/>
  <c r="J53" i="21"/>
  <c r="K53" i="21" s="1"/>
  <c r="I53" i="21"/>
  <c r="J52" i="21"/>
  <c r="I52" i="21"/>
  <c r="K52" i="21" s="1"/>
  <c r="J51" i="21"/>
  <c r="I51" i="21"/>
  <c r="K51" i="21" s="1"/>
  <c r="K50" i="21"/>
  <c r="J50" i="21"/>
  <c r="I50" i="21"/>
  <c r="J49" i="21"/>
  <c r="K49" i="21" s="1"/>
  <c r="I49" i="21"/>
  <c r="J48" i="21"/>
  <c r="I48" i="21"/>
  <c r="K48" i="21" s="1"/>
  <c r="J47" i="21"/>
  <c r="I47" i="21"/>
  <c r="K47" i="21" s="1"/>
  <c r="K46" i="21"/>
  <c r="J46" i="21"/>
  <c r="I46" i="21"/>
  <c r="J45" i="21"/>
  <c r="K45" i="21" s="1"/>
  <c r="I45" i="21"/>
  <c r="J44" i="21"/>
  <c r="I44" i="21"/>
  <c r="K44" i="21" s="1"/>
  <c r="J43" i="21"/>
  <c r="I43" i="21"/>
  <c r="K43" i="21" s="1"/>
  <c r="K42" i="21"/>
  <c r="J42" i="21"/>
  <c r="I42" i="21"/>
  <c r="J41" i="21"/>
  <c r="K41" i="21" s="1"/>
  <c r="I41" i="21"/>
  <c r="J40" i="21"/>
  <c r="I40" i="21"/>
  <c r="K40" i="21" s="1"/>
  <c r="J39" i="21"/>
  <c r="I39" i="21"/>
  <c r="K39" i="21" s="1"/>
  <c r="K38" i="21"/>
  <c r="J38" i="21"/>
  <c r="I38" i="21"/>
  <c r="J37" i="21"/>
  <c r="K37" i="21" s="1"/>
  <c r="I37" i="21"/>
  <c r="J36" i="21"/>
  <c r="I36" i="21"/>
  <c r="K36" i="21" s="1"/>
  <c r="J35" i="21"/>
  <c r="I35" i="21"/>
  <c r="K35" i="21" s="1"/>
  <c r="K34" i="21"/>
  <c r="J34" i="21"/>
  <c r="I34" i="21"/>
  <c r="J33" i="21"/>
  <c r="K33" i="21" s="1"/>
  <c r="I33" i="21"/>
  <c r="J32" i="21"/>
  <c r="I32" i="21"/>
  <c r="K32" i="21" s="1"/>
  <c r="J31" i="21"/>
  <c r="I31" i="21"/>
  <c r="K31" i="21" s="1"/>
  <c r="K30" i="21"/>
  <c r="J30" i="21"/>
  <c r="I30" i="21"/>
  <c r="J29" i="21"/>
  <c r="K29" i="21" s="1"/>
  <c r="I29" i="21"/>
  <c r="J28" i="21"/>
  <c r="I28" i="21"/>
  <c r="K28" i="21" s="1"/>
  <c r="J27" i="21"/>
  <c r="I27" i="21"/>
  <c r="K27" i="21" s="1"/>
  <c r="K26" i="21"/>
  <c r="J26" i="21"/>
  <c r="I26" i="21"/>
  <c r="J25" i="21"/>
  <c r="K25" i="21" s="1"/>
  <c r="I25" i="21"/>
  <c r="J24" i="21"/>
  <c r="I24" i="21"/>
  <c r="K24" i="21" s="1"/>
  <c r="J23" i="21"/>
  <c r="I23" i="21"/>
  <c r="K23" i="21" s="1"/>
  <c r="K22" i="21"/>
  <c r="J22" i="21"/>
  <c r="I22" i="21"/>
  <c r="J21" i="21"/>
  <c r="K21" i="21" s="1"/>
  <c r="I21" i="21"/>
  <c r="J20" i="21"/>
  <c r="I20" i="21"/>
  <c r="K20" i="21" s="1"/>
  <c r="J19" i="21"/>
  <c r="I19" i="21"/>
  <c r="K19" i="21" s="1"/>
  <c r="K18" i="21"/>
  <c r="J18" i="21"/>
  <c r="I18" i="21"/>
  <c r="J17" i="21"/>
  <c r="K17" i="21" s="1"/>
  <c r="I17" i="21"/>
  <c r="J16" i="21"/>
  <c r="I16" i="21"/>
  <c r="K16" i="21" s="1"/>
  <c r="K14" i="21"/>
  <c r="J14" i="21"/>
  <c r="I14" i="21"/>
  <c r="H14" i="21"/>
  <c r="G14" i="21"/>
  <c r="F14" i="21"/>
  <c r="E14" i="21"/>
  <c r="C11" i="21"/>
  <c r="C7" i="21"/>
  <c r="H100" i="20"/>
  <c r="H99" i="20"/>
  <c r="H98" i="20"/>
  <c r="H97" i="20"/>
  <c r="H96" i="20"/>
  <c r="G96" i="20"/>
  <c r="K96" i="20" s="1"/>
  <c r="F96" i="20"/>
  <c r="E96" i="20"/>
  <c r="I96" i="20" s="1"/>
  <c r="K95" i="20"/>
  <c r="H95" i="20"/>
  <c r="I95" i="20" s="1"/>
  <c r="K94" i="20"/>
  <c r="H94" i="20"/>
  <c r="I94" i="20" s="1"/>
  <c r="K93" i="20"/>
  <c r="H93" i="20"/>
  <c r="I93" i="20" s="1"/>
  <c r="K92" i="20"/>
  <c r="H92" i="20"/>
  <c r="I92" i="20" s="1"/>
  <c r="K91" i="20"/>
  <c r="H91" i="20"/>
  <c r="I91" i="20" s="1"/>
  <c r="H90" i="20"/>
  <c r="G90" i="20"/>
  <c r="G88" i="20" s="1"/>
  <c r="K88" i="20" s="1"/>
  <c r="F90" i="20"/>
  <c r="J90" i="20" s="1"/>
  <c r="E90" i="20"/>
  <c r="I90" i="20" s="1"/>
  <c r="J89" i="20"/>
  <c r="H89" i="20"/>
  <c r="K89" i="20" s="1"/>
  <c r="H88" i="20"/>
  <c r="F88" i="20"/>
  <c r="J88" i="20" s="1"/>
  <c r="K87" i="20"/>
  <c r="J87" i="20"/>
  <c r="I87" i="20"/>
  <c r="H87" i="20"/>
  <c r="K86" i="20"/>
  <c r="J86" i="20"/>
  <c r="I86" i="20"/>
  <c r="H86" i="20"/>
  <c r="K85" i="20"/>
  <c r="J85" i="20"/>
  <c r="I85" i="20"/>
  <c r="H85" i="20"/>
  <c r="K84" i="20"/>
  <c r="J84" i="20"/>
  <c r="I84" i="20"/>
  <c r="H84" i="20"/>
  <c r="K83" i="20"/>
  <c r="J83" i="20"/>
  <c r="I83" i="20"/>
  <c r="H83" i="20"/>
  <c r="H82" i="20"/>
  <c r="G82" i="20"/>
  <c r="K82" i="20" s="1"/>
  <c r="F82" i="20"/>
  <c r="J82" i="20" s="1"/>
  <c r="E82" i="20"/>
  <c r="E80" i="20" s="1"/>
  <c r="I80" i="20" s="1"/>
  <c r="H81" i="20"/>
  <c r="H80" i="20"/>
  <c r="F80" i="20"/>
  <c r="J80" i="20" s="1"/>
  <c r="K79" i="20"/>
  <c r="H79" i="20"/>
  <c r="I79" i="20" s="1"/>
  <c r="K78" i="20"/>
  <c r="H78" i="20"/>
  <c r="I78" i="20" s="1"/>
  <c r="K77" i="20"/>
  <c r="H77" i="20"/>
  <c r="I77" i="20" s="1"/>
  <c r="K76" i="20"/>
  <c r="I76" i="20"/>
  <c r="H76" i="20"/>
  <c r="J76" i="20" s="1"/>
  <c r="K75" i="20"/>
  <c r="I75" i="20"/>
  <c r="H75" i="20"/>
  <c r="J75" i="20" s="1"/>
  <c r="K74" i="20"/>
  <c r="H74" i="20"/>
  <c r="G74" i="20"/>
  <c r="G72" i="20" s="1"/>
  <c r="K72" i="20" s="1"/>
  <c r="F74" i="20"/>
  <c r="J74" i="20" s="1"/>
  <c r="E74" i="20"/>
  <c r="I74" i="20" s="1"/>
  <c r="J73" i="20"/>
  <c r="H73" i="20"/>
  <c r="K73" i="20" s="1"/>
  <c r="J72" i="20"/>
  <c r="H72" i="20"/>
  <c r="F72" i="20"/>
  <c r="K71" i="20"/>
  <c r="J71" i="20"/>
  <c r="I71" i="20"/>
  <c r="H71" i="20"/>
  <c r="K70" i="20"/>
  <c r="J70" i="20"/>
  <c r="I70" i="20"/>
  <c r="H70" i="20"/>
  <c r="H69" i="20"/>
  <c r="G69" i="20"/>
  <c r="K69" i="20" s="1"/>
  <c r="F69" i="20"/>
  <c r="J69" i="20" s="1"/>
  <c r="E69" i="20"/>
  <c r="H68" i="20"/>
  <c r="H67" i="20"/>
  <c r="H66" i="20"/>
  <c r="K65" i="20"/>
  <c r="I65" i="20"/>
  <c r="H65" i="20"/>
  <c r="J65" i="20" s="1"/>
  <c r="K64" i="20"/>
  <c r="I64" i="20"/>
  <c r="H64" i="20"/>
  <c r="J64" i="20" s="1"/>
  <c r="K63" i="20"/>
  <c r="I63" i="20"/>
  <c r="H63" i="20"/>
  <c r="J63" i="20" s="1"/>
  <c r="K62" i="20"/>
  <c r="I62" i="20"/>
  <c r="H62" i="20"/>
  <c r="J62" i="20" s="1"/>
  <c r="K61" i="20"/>
  <c r="I61" i="20"/>
  <c r="H61" i="20"/>
  <c r="J61" i="20" s="1"/>
  <c r="H60" i="20"/>
  <c r="G60" i="20"/>
  <c r="K60" i="20" s="1"/>
  <c r="F60" i="20"/>
  <c r="J60" i="20" s="1"/>
  <c r="E60" i="20"/>
  <c r="I60" i="20" s="1"/>
  <c r="J59" i="20"/>
  <c r="H59" i="20"/>
  <c r="K59" i="20" s="1"/>
  <c r="J58" i="20"/>
  <c r="H58" i="20"/>
  <c r="K58" i="20" s="1"/>
  <c r="J57" i="20"/>
  <c r="H57" i="20"/>
  <c r="K57" i="20" s="1"/>
  <c r="H56" i="20"/>
  <c r="G56" i="20"/>
  <c r="K56" i="20" s="1"/>
  <c r="F56" i="20"/>
  <c r="E56" i="20"/>
  <c r="I56" i="20" s="1"/>
  <c r="K55" i="20"/>
  <c r="J55" i="20"/>
  <c r="I55" i="20"/>
  <c r="H55" i="20"/>
  <c r="K54" i="20"/>
  <c r="J54" i="20"/>
  <c r="I54" i="20"/>
  <c r="H54" i="20"/>
  <c r="H53" i="20"/>
  <c r="G53" i="20"/>
  <c r="K53" i="20" s="1"/>
  <c r="F53" i="20"/>
  <c r="J53" i="20" s="1"/>
  <c r="E53" i="20"/>
  <c r="E52" i="20" s="1"/>
  <c r="I52" i="20" s="1"/>
  <c r="H52" i="20"/>
  <c r="K51" i="20"/>
  <c r="I51" i="20"/>
  <c r="H51" i="20"/>
  <c r="J51" i="20" s="1"/>
  <c r="K50" i="20"/>
  <c r="I50" i="20"/>
  <c r="H50" i="20"/>
  <c r="J50" i="20" s="1"/>
  <c r="K49" i="20"/>
  <c r="I49" i="20"/>
  <c r="H49" i="20"/>
  <c r="J49" i="20" s="1"/>
  <c r="K48" i="20"/>
  <c r="I48" i="20"/>
  <c r="H48" i="20"/>
  <c r="J48" i="20" s="1"/>
  <c r="K47" i="20"/>
  <c r="H47" i="20"/>
  <c r="G47" i="20"/>
  <c r="F47" i="20"/>
  <c r="J47" i="20" s="1"/>
  <c r="E47" i="20"/>
  <c r="I47" i="20" s="1"/>
  <c r="J46" i="20"/>
  <c r="H46" i="20"/>
  <c r="K46" i="20" s="1"/>
  <c r="J45" i="20"/>
  <c r="H45" i="20"/>
  <c r="K45" i="20" s="1"/>
  <c r="J44" i="20"/>
  <c r="H44" i="20"/>
  <c r="K44" i="20" s="1"/>
  <c r="J43" i="20"/>
  <c r="H43" i="20"/>
  <c r="K43" i="20" s="1"/>
  <c r="J42" i="20"/>
  <c r="H42" i="20"/>
  <c r="K42" i="20" s="1"/>
  <c r="J41" i="20"/>
  <c r="H41" i="20"/>
  <c r="K41" i="20" s="1"/>
  <c r="J40" i="20"/>
  <c r="H40" i="20"/>
  <c r="K40" i="20" s="1"/>
  <c r="H39" i="20"/>
  <c r="G39" i="20"/>
  <c r="K39" i="20" s="1"/>
  <c r="F39" i="20"/>
  <c r="J39" i="20" s="1"/>
  <c r="E39" i="20"/>
  <c r="I39" i="20" s="1"/>
  <c r="K38" i="20"/>
  <c r="J38" i="20"/>
  <c r="I38" i="20"/>
  <c r="H38" i="20"/>
  <c r="K37" i="20"/>
  <c r="J37" i="20"/>
  <c r="I37" i="20"/>
  <c r="H37" i="20"/>
  <c r="K36" i="20"/>
  <c r="J36" i="20"/>
  <c r="I36" i="20"/>
  <c r="H36" i="20"/>
  <c r="K35" i="20"/>
  <c r="J35" i="20"/>
  <c r="I35" i="20"/>
  <c r="H35" i="20"/>
  <c r="K34" i="20"/>
  <c r="J34" i="20"/>
  <c r="I34" i="20"/>
  <c r="H34" i="20"/>
  <c r="K33" i="20"/>
  <c r="J33" i="20"/>
  <c r="I33" i="20"/>
  <c r="H33" i="20"/>
  <c r="K32" i="20"/>
  <c r="J32" i="20"/>
  <c r="I32" i="20"/>
  <c r="H32" i="20"/>
  <c r="H31" i="20"/>
  <c r="G31" i="20"/>
  <c r="K31" i="20" s="1"/>
  <c r="F31" i="20"/>
  <c r="J31" i="20" s="1"/>
  <c r="E31" i="20"/>
  <c r="I31" i="20" s="1"/>
  <c r="H30" i="20"/>
  <c r="H29" i="20"/>
  <c r="H28" i="20"/>
  <c r="H27" i="20"/>
  <c r="H26" i="20"/>
  <c r="H25" i="20"/>
  <c r="G25" i="20"/>
  <c r="F25" i="20"/>
  <c r="J25" i="20" s="1"/>
  <c r="E25" i="20"/>
  <c r="K24" i="20"/>
  <c r="I24" i="20"/>
  <c r="H24" i="20"/>
  <c r="J24" i="20" s="1"/>
  <c r="K23" i="20"/>
  <c r="I23" i="20"/>
  <c r="H23" i="20"/>
  <c r="J23" i="20" s="1"/>
  <c r="K22" i="20"/>
  <c r="I22" i="20"/>
  <c r="H22" i="20"/>
  <c r="J22" i="20" s="1"/>
  <c r="K21" i="20"/>
  <c r="I21" i="20"/>
  <c r="H21" i="20"/>
  <c r="J21" i="20" s="1"/>
  <c r="K20" i="20"/>
  <c r="I20" i="20"/>
  <c r="H20" i="20"/>
  <c r="J20" i="20" s="1"/>
  <c r="K19" i="20"/>
  <c r="H19" i="20"/>
  <c r="G19" i="20"/>
  <c r="F19" i="20"/>
  <c r="J19" i="20" s="1"/>
  <c r="E19" i="20"/>
  <c r="I19" i="20" s="1"/>
  <c r="J18" i="20"/>
  <c r="H18" i="20"/>
  <c r="K18" i="20" s="1"/>
  <c r="J17" i="20"/>
  <c r="H17" i="20"/>
  <c r="K17" i="20" s="1"/>
  <c r="H16" i="20"/>
  <c r="K15" i="20"/>
  <c r="J15" i="20"/>
  <c r="I15" i="20"/>
  <c r="H15" i="20"/>
  <c r="G15" i="20"/>
  <c r="F15" i="20"/>
  <c r="E15" i="20"/>
  <c r="I14" i="20"/>
  <c r="H14" i="20"/>
  <c r="E14" i="20"/>
  <c r="C11" i="20"/>
  <c r="C7" i="20"/>
  <c r="F17" i="19"/>
  <c r="F15" i="19"/>
  <c r="E15" i="19"/>
  <c r="E14" i="19"/>
  <c r="C11" i="19"/>
  <c r="C7" i="19"/>
  <c r="E46" i="18"/>
  <c r="G45" i="18"/>
  <c r="F45" i="18"/>
  <c r="F44" i="18"/>
  <c r="F46" i="18" s="1"/>
  <c r="E43" i="18"/>
  <c r="F42" i="18"/>
  <c r="E42" i="18"/>
  <c r="G41" i="18"/>
  <c r="G40" i="18"/>
  <c r="G39" i="18"/>
  <c r="G42" i="18" s="1"/>
  <c r="F38" i="18"/>
  <c r="E38" i="18"/>
  <c r="G38" i="18" s="1"/>
  <c r="G37" i="18"/>
  <c r="E37" i="18"/>
  <c r="F36" i="18"/>
  <c r="F37" i="18" s="1"/>
  <c r="E36" i="18"/>
  <c r="G35" i="18"/>
  <c r="G34" i="18"/>
  <c r="G36" i="18" s="1"/>
  <c r="G33" i="18"/>
  <c r="F33" i="18"/>
  <c r="E33" i="18"/>
  <c r="F32" i="18"/>
  <c r="E32" i="18"/>
  <c r="F31" i="18"/>
  <c r="G31" i="18" s="1"/>
  <c r="G30" i="18"/>
  <c r="G32" i="18" s="1"/>
  <c r="F30" i="18"/>
  <c r="F29" i="18"/>
  <c r="E29" i="18"/>
  <c r="G29" i="18" s="1"/>
  <c r="F28" i="18"/>
  <c r="E28" i="18"/>
  <c r="G27" i="18"/>
  <c r="G26" i="18"/>
  <c r="G28" i="18" s="1"/>
  <c r="F25" i="18"/>
  <c r="E25" i="18"/>
  <c r="G25" i="18" s="1"/>
  <c r="F24" i="18"/>
  <c r="E24" i="18"/>
  <c r="G23" i="18"/>
  <c r="F23" i="18"/>
  <c r="F22" i="18"/>
  <c r="G22" i="18" s="1"/>
  <c r="G21" i="18"/>
  <c r="F21" i="18"/>
  <c r="F20" i="18"/>
  <c r="E20" i="18"/>
  <c r="G20" i="18" s="1"/>
  <c r="F19" i="18"/>
  <c r="E19" i="18"/>
  <c r="G18" i="18"/>
  <c r="G17" i="18"/>
  <c r="G19" i="18" s="1"/>
  <c r="F16" i="18"/>
  <c r="E16" i="18"/>
  <c r="G16" i="18" s="1"/>
  <c r="G15" i="18"/>
  <c r="F15" i="18"/>
  <c r="E15" i="18"/>
  <c r="E14" i="18"/>
  <c r="C11" i="18"/>
  <c r="C7" i="18"/>
  <c r="F37" i="17"/>
  <c r="E31" i="17"/>
  <c r="E30" i="17"/>
  <c r="E29" i="17"/>
  <c r="E28" i="17"/>
  <c r="E27" i="17"/>
  <c r="F26" i="17"/>
  <c r="F25" i="17" s="1"/>
  <c r="E26" i="17"/>
  <c r="E25" i="17"/>
  <c r="F24" i="17"/>
  <c r="E24" i="17"/>
  <c r="F23" i="17"/>
  <c r="F14" i="17"/>
  <c r="E14" i="17"/>
  <c r="C11" i="17"/>
  <c r="C7" i="17"/>
  <c r="F21" i="16"/>
  <c r="E21" i="16"/>
  <c r="G20" i="16"/>
  <c r="G19" i="16"/>
  <c r="G18" i="16"/>
  <c r="G17" i="16"/>
  <c r="G21" i="16" s="1"/>
  <c r="G16" i="16"/>
  <c r="G14" i="16"/>
  <c r="F14" i="16"/>
  <c r="E14" i="16"/>
  <c r="C11" i="16"/>
  <c r="C7" i="16"/>
  <c r="J45" i="15"/>
  <c r="I45" i="15"/>
  <c r="H45" i="15"/>
  <c r="K44" i="15"/>
  <c r="K45" i="15" s="1"/>
  <c r="F44" i="15"/>
  <c r="E44" i="15"/>
  <c r="G43" i="15"/>
  <c r="F42" i="15"/>
  <c r="E42" i="15"/>
  <c r="G42" i="15" s="1"/>
  <c r="F41" i="15"/>
  <c r="E41" i="15"/>
  <c r="G41" i="15" s="1"/>
  <c r="F40" i="15"/>
  <c r="E40" i="15"/>
  <c r="G40" i="15" s="1"/>
  <c r="G39" i="15"/>
  <c r="F39" i="15"/>
  <c r="E39" i="15"/>
  <c r="F38" i="15"/>
  <c r="E38" i="15"/>
  <c r="K36" i="15"/>
  <c r="J36" i="15"/>
  <c r="I36" i="15"/>
  <c r="H36" i="15"/>
  <c r="G36" i="15"/>
  <c r="F36" i="15"/>
  <c r="E36" i="15"/>
  <c r="K35" i="15"/>
  <c r="K46" i="15" s="1"/>
  <c r="J35" i="15"/>
  <c r="J46" i="15" s="1"/>
  <c r="I35" i="15"/>
  <c r="I46" i="15" s="1"/>
  <c r="H35" i="15"/>
  <c r="H46" i="15" s="1"/>
  <c r="K34" i="15"/>
  <c r="G34" i="15"/>
  <c r="F34" i="15"/>
  <c r="E34" i="15"/>
  <c r="F33" i="15"/>
  <c r="E33" i="15"/>
  <c r="G33" i="15" s="1"/>
  <c r="F32" i="15"/>
  <c r="E32" i="15"/>
  <c r="G32" i="15" s="1"/>
  <c r="G31" i="15"/>
  <c r="F31" i="15"/>
  <c r="E31" i="15"/>
  <c r="G30" i="15"/>
  <c r="F30" i="15"/>
  <c r="E30" i="15"/>
  <c r="F29" i="15"/>
  <c r="E29" i="15"/>
  <c r="G29" i="15" s="1"/>
  <c r="F28" i="15"/>
  <c r="E28" i="15"/>
  <c r="G27" i="15"/>
  <c r="F27" i="15"/>
  <c r="E27" i="15"/>
  <c r="G26" i="15"/>
  <c r="F26" i="15"/>
  <c r="E26" i="15"/>
  <c r="F25" i="15"/>
  <c r="E25" i="15"/>
  <c r="G25" i="15" s="1"/>
  <c r="F24" i="15"/>
  <c r="E24" i="15"/>
  <c r="G24" i="15" s="1"/>
  <c r="G23" i="15"/>
  <c r="F23" i="15"/>
  <c r="E23" i="15"/>
  <c r="F22" i="15"/>
  <c r="G22" i="15" s="1"/>
  <c r="E22" i="15"/>
  <c r="F21" i="15"/>
  <c r="E21" i="15"/>
  <c r="G21" i="15" s="1"/>
  <c r="F20" i="15"/>
  <c r="E20" i="15"/>
  <c r="G19" i="15"/>
  <c r="F19" i="15"/>
  <c r="E19" i="15"/>
  <c r="G18" i="15"/>
  <c r="F18" i="15"/>
  <c r="E18" i="15"/>
  <c r="F17" i="15"/>
  <c r="F35" i="15" s="1"/>
  <c r="E17" i="15"/>
  <c r="K16" i="15"/>
  <c r="J16" i="15"/>
  <c r="I16" i="15"/>
  <c r="H16" i="15"/>
  <c r="G16" i="15"/>
  <c r="F16" i="15"/>
  <c r="E16" i="15"/>
  <c r="K14" i="15"/>
  <c r="J14" i="15"/>
  <c r="I14" i="15"/>
  <c r="H14" i="15"/>
  <c r="G14" i="15"/>
  <c r="F14" i="15"/>
  <c r="E14" i="15"/>
  <c r="C11" i="15"/>
  <c r="C7" i="15"/>
  <c r="F19" i="14"/>
  <c r="E19" i="14"/>
  <c r="G18" i="14"/>
  <c r="G17" i="14"/>
  <c r="G16" i="14"/>
  <c r="G14" i="14"/>
  <c r="F14" i="14"/>
  <c r="E14" i="14"/>
  <c r="C11" i="14"/>
  <c r="C7" i="14"/>
  <c r="H49" i="13"/>
  <c r="K48" i="13"/>
  <c r="J48" i="13"/>
  <c r="I48" i="13"/>
  <c r="H48" i="13"/>
  <c r="K47" i="13"/>
  <c r="F47" i="13"/>
  <c r="G47" i="13" s="1"/>
  <c r="E47" i="13"/>
  <c r="F46" i="13"/>
  <c r="E46" i="13"/>
  <c r="G45" i="13"/>
  <c r="G44" i="13"/>
  <c r="G43" i="13"/>
  <c r="F43" i="13"/>
  <c r="E43" i="13"/>
  <c r="F42" i="13"/>
  <c r="E42" i="13"/>
  <c r="F41" i="13"/>
  <c r="E41" i="13"/>
  <c r="G41" i="13" s="1"/>
  <c r="K39" i="13"/>
  <c r="J39" i="13"/>
  <c r="I39" i="13"/>
  <c r="H39" i="13"/>
  <c r="G39" i="13"/>
  <c r="F39" i="13"/>
  <c r="E39" i="13"/>
  <c r="J38" i="13"/>
  <c r="J49" i="13" s="1"/>
  <c r="I38" i="13"/>
  <c r="I49" i="13" s="1"/>
  <c r="H38" i="13"/>
  <c r="K37" i="13"/>
  <c r="K38" i="13" s="1"/>
  <c r="K49" i="13" s="1"/>
  <c r="F37" i="13"/>
  <c r="E37" i="13"/>
  <c r="G37" i="13" s="1"/>
  <c r="F36" i="13"/>
  <c r="E36" i="13"/>
  <c r="G35" i="13"/>
  <c r="F35" i="13"/>
  <c r="E35" i="13"/>
  <c r="G34" i="13"/>
  <c r="F34" i="13"/>
  <c r="E34" i="13"/>
  <c r="F33" i="13"/>
  <c r="E33" i="13"/>
  <c r="F32" i="13"/>
  <c r="E32" i="13"/>
  <c r="G32" i="13" s="1"/>
  <c r="G31" i="13"/>
  <c r="F31" i="13"/>
  <c r="E31" i="13"/>
  <c r="F30" i="13"/>
  <c r="G30" i="13" s="1"/>
  <c r="E30" i="13"/>
  <c r="F29" i="13"/>
  <c r="E29" i="13"/>
  <c r="G29" i="13" s="1"/>
  <c r="F28" i="13"/>
  <c r="E28" i="13"/>
  <c r="G28" i="13" s="1"/>
  <c r="G27" i="13"/>
  <c r="F27" i="13"/>
  <c r="E27" i="13"/>
  <c r="G26" i="13"/>
  <c r="F26" i="13"/>
  <c r="E26" i="13"/>
  <c r="F25" i="13"/>
  <c r="E25" i="13"/>
  <c r="F24" i="13"/>
  <c r="E24" i="13"/>
  <c r="G24" i="13" s="1"/>
  <c r="G23" i="13"/>
  <c r="F23" i="13"/>
  <c r="E23" i="13"/>
  <c r="F22" i="13"/>
  <c r="G22" i="13" s="1"/>
  <c r="E22" i="13"/>
  <c r="F21" i="13"/>
  <c r="E21" i="13"/>
  <c r="G21" i="13" s="1"/>
  <c r="F20" i="13"/>
  <c r="E20" i="13"/>
  <c r="G20" i="13" s="1"/>
  <c r="G19" i="13"/>
  <c r="F19" i="13"/>
  <c r="E19" i="13"/>
  <c r="G18" i="13"/>
  <c r="F18" i="13"/>
  <c r="E18" i="13"/>
  <c r="F17" i="13"/>
  <c r="F38" i="13" s="1"/>
  <c r="E17" i="13"/>
  <c r="K16" i="13"/>
  <c r="J16" i="13"/>
  <c r="I16" i="13"/>
  <c r="H16" i="13"/>
  <c r="G16" i="13"/>
  <c r="F16" i="13"/>
  <c r="E16" i="13"/>
  <c r="K14" i="13"/>
  <c r="J14" i="13"/>
  <c r="I14" i="13"/>
  <c r="H14" i="13"/>
  <c r="G14" i="13"/>
  <c r="F14" i="13"/>
  <c r="E14" i="13"/>
  <c r="C11" i="13"/>
  <c r="C7" i="13"/>
  <c r="G26" i="12"/>
  <c r="G25" i="12"/>
  <c r="F25" i="12"/>
  <c r="G24" i="12"/>
  <c r="F23" i="12"/>
  <c r="E22" i="12"/>
  <c r="G21" i="12"/>
  <c r="E20" i="12"/>
  <c r="F19" i="12"/>
  <c r="G19" i="12" s="1"/>
  <c r="F18" i="12"/>
  <c r="G18" i="12" s="1"/>
  <c r="G16" i="12"/>
  <c r="G14" i="12"/>
  <c r="F14" i="12"/>
  <c r="E14" i="12"/>
  <c r="C11" i="12"/>
  <c r="C7" i="12"/>
  <c r="I66" i="11"/>
  <c r="H65" i="11"/>
  <c r="G65" i="11"/>
  <c r="E65" i="11"/>
  <c r="H64" i="11"/>
  <c r="G64" i="11"/>
  <c r="F64" i="11"/>
  <c r="H63" i="11"/>
  <c r="H62" i="11" s="1"/>
  <c r="G63" i="11"/>
  <c r="G62" i="11" s="1"/>
  <c r="F63" i="11"/>
  <c r="F62" i="11"/>
  <c r="F56" i="11" s="1"/>
  <c r="I61" i="11"/>
  <c r="H60" i="11"/>
  <c r="I60" i="11" s="1"/>
  <c r="G60" i="11"/>
  <c r="E60" i="11"/>
  <c r="H59" i="11"/>
  <c r="I59" i="11" s="1"/>
  <c r="G59" i="11"/>
  <c r="F59" i="11"/>
  <c r="H58" i="11"/>
  <c r="I58" i="11" s="1"/>
  <c r="G58" i="11"/>
  <c r="F58" i="11"/>
  <c r="H57" i="11"/>
  <c r="G57" i="11"/>
  <c r="F57" i="11"/>
  <c r="E57" i="11"/>
  <c r="G56" i="11"/>
  <c r="I55" i="11"/>
  <c r="I54" i="11"/>
  <c r="H54" i="11"/>
  <c r="G54" i="11"/>
  <c r="G50" i="11" s="1"/>
  <c r="F54" i="11"/>
  <c r="I53" i="11"/>
  <c r="E53" i="11"/>
  <c r="I52" i="11"/>
  <c r="E52" i="11"/>
  <c r="I51" i="11"/>
  <c r="I50" i="11" s="1"/>
  <c r="H50" i="11"/>
  <c r="F50" i="11"/>
  <c r="E50" i="11"/>
  <c r="E42" i="11" s="1"/>
  <c r="I49" i="11"/>
  <c r="H48" i="11"/>
  <c r="G48" i="11"/>
  <c r="F48" i="11"/>
  <c r="I47" i="11"/>
  <c r="H46" i="11"/>
  <c r="G46" i="11"/>
  <c r="I46" i="11" s="1"/>
  <c r="F46" i="11"/>
  <c r="H45" i="11"/>
  <c r="G45" i="11"/>
  <c r="F45" i="11"/>
  <c r="I44" i="11"/>
  <c r="H43" i="11"/>
  <c r="H42" i="11" s="1"/>
  <c r="E43" i="11"/>
  <c r="I41" i="11"/>
  <c r="I40" i="11"/>
  <c r="H40" i="11"/>
  <c r="G40" i="11"/>
  <c r="F40" i="11"/>
  <c r="I39" i="11"/>
  <c r="H39" i="11"/>
  <c r="G39" i="11"/>
  <c r="F39" i="11"/>
  <c r="I38" i="11"/>
  <c r="H38" i="11"/>
  <c r="G38" i="11"/>
  <c r="F38" i="11"/>
  <c r="I37" i="11"/>
  <c r="H37" i="11"/>
  <c r="G37" i="11"/>
  <c r="H36" i="11"/>
  <c r="G36" i="11"/>
  <c r="E36" i="11"/>
  <c r="H35" i="11"/>
  <c r="G35" i="11"/>
  <c r="F35" i="11"/>
  <c r="I35" i="11" s="1"/>
  <c r="H34" i="11"/>
  <c r="G34" i="11"/>
  <c r="F34" i="11"/>
  <c r="I34" i="11" s="1"/>
  <c r="H33" i="11"/>
  <c r="H27" i="11" s="1"/>
  <c r="H19" i="11" s="1"/>
  <c r="G33" i="11"/>
  <c r="F33" i="11"/>
  <c r="H32" i="11"/>
  <c r="G32" i="11"/>
  <c r="G27" i="11" s="1"/>
  <c r="E32" i="11"/>
  <c r="H31" i="11"/>
  <c r="G31" i="11"/>
  <c r="I31" i="11" s="1"/>
  <c r="E31" i="11"/>
  <c r="F30" i="11"/>
  <c r="E30" i="11"/>
  <c r="I30" i="11" s="1"/>
  <c r="F29" i="11"/>
  <c r="E29" i="11"/>
  <c r="I29" i="11" s="1"/>
  <c r="I28" i="11"/>
  <c r="E28" i="11"/>
  <c r="I26" i="11"/>
  <c r="I25" i="11"/>
  <c r="H25" i="11"/>
  <c r="G25" i="11"/>
  <c r="E25" i="11"/>
  <c r="I24" i="11"/>
  <c r="H24" i="11"/>
  <c r="G24" i="11"/>
  <c r="E24" i="11"/>
  <c r="E20" i="11" s="1"/>
  <c r="I23" i="11"/>
  <c r="H23" i="11"/>
  <c r="G23" i="11"/>
  <c r="F23" i="11"/>
  <c r="I22" i="11"/>
  <c r="H22" i="11"/>
  <c r="G22" i="11"/>
  <c r="F22" i="11"/>
  <c r="F20" i="11" s="1"/>
  <c r="I21" i="11"/>
  <c r="I20" i="11" s="1"/>
  <c r="E21" i="11"/>
  <c r="H20" i="11"/>
  <c r="G20" i="11"/>
  <c r="I16" i="11"/>
  <c r="I15" i="11"/>
  <c r="H15" i="11"/>
  <c r="G15" i="11"/>
  <c r="F15" i="11"/>
  <c r="E15" i="11"/>
  <c r="I14" i="11"/>
  <c r="G14" i="11"/>
  <c r="E14" i="11"/>
  <c r="C11" i="11"/>
  <c r="C7" i="11"/>
  <c r="H65" i="10"/>
  <c r="G65" i="10"/>
  <c r="J65" i="10" s="1"/>
  <c r="F65" i="10"/>
  <c r="J63" i="10"/>
  <c r="J61" i="10"/>
  <c r="H60" i="10"/>
  <c r="G60" i="10"/>
  <c r="J60" i="10" s="1"/>
  <c r="H58" i="10"/>
  <c r="F58" i="10"/>
  <c r="H57" i="10"/>
  <c r="G57" i="10"/>
  <c r="F57" i="10"/>
  <c r="H56" i="10"/>
  <c r="J56" i="10" s="1"/>
  <c r="G56" i="10"/>
  <c r="F56" i="10"/>
  <c r="H55" i="10"/>
  <c r="J55" i="10" s="1"/>
  <c r="G55" i="10"/>
  <c r="F55" i="10"/>
  <c r="H54" i="10"/>
  <c r="J54" i="10" s="1"/>
  <c r="G54" i="10"/>
  <c r="F54" i="10"/>
  <c r="J53" i="10"/>
  <c r="I53" i="10"/>
  <c r="I50" i="10" s="1"/>
  <c r="H53" i="10"/>
  <c r="G53" i="10"/>
  <c r="F53" i="10"/>
  <c r="E53" i="10"/>
  <c r="H52" i="10"/>
  <c r="G52" i="10"/>
  <c r="F52" i="10"/>
  <c r="J52" i="10" s="1"/>
  <c r="H51" i="10"/>
  <c r="G51" i="10"/>
  <c r="F51" i="10"/>
  <c r="J50" i="10"/>
  <c r="J49" i="10"/>
  <c r="E49" i="10"/>
  <c r="J48" i="10"/>
  <c r="H48" i="10"/>
  <c r="G48" i="10"/>
  <c r="J47" i="10"/>
  <c r="H47" i="10"/>
  <c r="G47" i="10"/>
  <c r="E47" i="10"/>
  <c r="H46" i="10"/>
  <c r="G46" i="10"/>
  <c r="F46" i="10"/>
  <c r="E46" i="10"/>
  <c r="H45" i="10"/>
  <c r="G45" i="10"/>
  <c r="F45" i="10"/>
  <c r="E45" i="10"/>
  <c r="J45" i="10" s="1"/>
  <c r="H44" i="10"/>
  <c r="G44" i="10"/>
  <c r="E44" i="10"/>
  <c r="J43" i="10"/>
  <c r="F43" i="10"/>
  <c r="E43" i="10"/>
  <c r="F42" i="10"/>
  <c r="J42" i="10" s="1"/>
  <c r="E42" i="10"/>
  <c r="H41" i="10"/>
  <c r="G41" i="10"/>
  <c r="J41" i="10" s="1"/>
  <c r="E41" i="10"/>
  <c r="H40" i="10"/>
  <c r="G40" i="10"/>
  <c r="G38" i="10" s="1"/>
  <c r="G37" i="10" s="1"/>
  <c r="F40" i="10"/>
  <c r="E40" i="10"/>
  <c r="H39" i="10"/>
  <c r="H38" i="10" s="1"/>
  <c r="G39" i="10"/>
  <c r="F39" i="10"/>
  <c r="F44" i="10" s="1"/>
  <c r="E39" i="10"/>
  <c r="E38" i="10" s="1"/>
  <c r="E37" i="10" s="1"/>
  <c r="J38" i="10"/>
  <c r="I38" i="10"/>
  <c r="J37" i="10"/>
  <c r="I37" i="10"/>
  <c r="H37" i="10"/>
  <c r="J36" i="10"/>
  <c r="H35" i="10"/>
  <c r="G35" i="10"/>
  <c r="H34" i="10"/>
  <c r="G34" i="10"/>
  <c r="E34" i="10"/>
  <c r="J33" i="10"/>
  <c r="H33" i="10"/>
  <c r="G33" i="10"/>
  <c r="E33" i="10"/>
  <c r="J32" i="10"/>
  <c r="H32" i="10"/>
  <c r="G32" i="10"/>
  <c r="E32" i="10"/>
  <c r="J31" i="10"/>
  <c r="H31" i="10"/>
  <c r="G31" i="10"/>
  <c r="E31" i="10"/>
  <c r="E30" i="10" s="1"/>
  <c r="J30" i="10"/>
  <c r="I30" i="10"/>
  <c r="H30" i="10"/>
  <c r="G30" i="10"/>
  <c r="F30" i="10"/>
  <c r="H28" i="10"/>
  <c r="J28" i="10" s="1"/>
  <c r="G28" i="10"/>
  <c r="F28" i="10"/>
  <c r="H27" i="10"/>
  <c r="H26" i="10"/>
  <c r="G26" i="10"/>
  <c r="G27" i="10" s="1"/>
  <c r="G29" i="10" s="1"/>
  <c r="F26" i="10"/>
  <c r="F27" i="10" s="1"/>
  <c r="F29" i="10" s="1"/>
  <c r="E26" i="10"/>
  <c r="J26" i="10" s="1"/>
  <c r="J25" i="10"/>
  <c r="J24" i="10"/>
  <c r="I24" i="10"/>
  <c r="I23" i="10" s="1"/>
  <c r="H24" i="10"/>
  <c r="J23" i="10"/>
  <c r="G22" i="10"/>
  <c r="H21" i="10"/>
  <c r="G21" i="10"/>
  <c r="F21" i="10"/>
  <c r="H20" i="10"/>
  <c r="G20" i="10"/>
  <c r="J19" i="10"/>
  <c r="F18" i="10"/>
  <c r="F20" i="10" s="1"/>
  <c r="F22" i="10" s="1"/>
  <c r="E18" i="10"/>
  <c r="J17" i="10"/>
  <c r="I17" i="10"/>
  <c r="G17" i="10"/>
  <c r="F17" i="10"/>
  <c r="J16" i="10"/>
  <c r="I16" i="10"/>
  <c r="J15" i="10"/>
  <c r="I15" i="10"/>
  <c r="H15" i="10"/>
  <c r="G15" i="10"/>
  <c r="F15" i="10"/>
  <c r="E15" i="10"/>
  <c r="I14" i="10"/>
  <c r="G14" i="10"/>
  <c r="E14" i="10"/>
  <c r="C11" i="10"/>
  <c r="C7" i="10"/>
  <c r="L67" i="9"/>
  <c r="I67" i="9"/>
  <c r="G67" i="9"/>
  <c r="E67" i="9"/>
  <c r="L66" i="9"/>
  <c r="I66" i="9"/>
  <c r="G66" i="9"/>
  <c r="E66" i="9"/>
  <c r="L65" i="9"/>
  <c r="K64" i="9"/>
  <c r="J64" i="9"/>
  <c r="I64" i="9"/>
  <c r="L64" i="9" s="1"/>
  <c r="H64" i="9"/>
  <c r="G64" i="9"/>
  <c r="H63" i="9"/>
  <c r="G63" i="9"/>
  <c r="F63" i="9"/>
  <c r="E63" i="9"/>
  <c r="L63" i="9" s="1"/>
  <c r="L62" i="9"/>
  <c r="F62" i="9"/>
  <c r="F59" i="9" s="1"/>
  <c r="E62" i="9"/>
  <c r="J61" i="9"/>
  <c r="I61" i="9"/>
  <c r="H61" i="9"/>
  <c r="G61" i="9"/>
  <c r="L61" i="9" s="1"/>
  <c r="J60" i="9"/>
  <c r="I60" i="9"/>
  <c r="H60" i="9"/>
  <c r="G60" i="9"/>
  <c r="G59" i="9" s="1"/>
  <c r="K59" i="9"/>
  <c r="H59" i="9"/>
  <c r="E59" i="9"/>
  <c r="L58" i="9"/>
  <c r="J58" i="9"/>
  <c r="I58" i="9"/>
  <c r="J57" i="9"/>
  <c r="I57" i="9"/>
  <c r="H57" i="9"/>
  <c r="F57" i="9"/>
  <c r="E57" i="9"/>
  <c r="L57" i="9" s="1"/>
  <c r="J56" i="9"/>
  <c r="I56" i="9"/>
  <c r="H56" i="9"/>
  <c r="F56" i="9"/>
  <c r="E56" i="9"/>
  <c r="L55" i="9"/>
  <c r="J55" i="9"/>
  <c r="I55" i="9"/>
  <c r="H55" i="9"/>
  <c r="F55" i="9"/>
  <c r="E55" i="9"/>
  <c r="J54" i="9"/>
  <c r="I54" i="9"/>
  <c r="H54" i="9"/>
  <c r="F54" i="9"/>
  <c r="E54" i="9"/>
  <c r="L54" i="9" s="1"/>
  <c r="J53" i="9"/>
  <c r="I53" i="9"/>
  <c r="H53" i="9"/>
  <c r="G53" i="9"/>
  <c r="L53" i="9" s="1"/>
  <c r="J52" i="9"/>
  <c r="I52" i="9"/>
  <c r="H52" i="9"/>
  <c r="G52" i="9"/>
  <c r="G51" i="9" s="1"/>
  <c r="G47" i="9" s="1"/>
  <c r="G46" i="9" s="1"/>
  <c r="K51" i="9"/>
  <c r="J51" i="9"/>
  <c r="I51" i="9"/>
  <c r="I47" i="9" s="1"/>
  <c r="F51" i="9"/>
  <c r="F47" i="9" s="1"/>
  <c r="L50" i="9"/>
  <c r="L49" i="9"/>
  <c r="L48" i="9"/>
  <c r="F48" i="9"/>
  <c r="E48" i="9"/>
  <c r="K47" i="9"/>
  <c r="J47" i="9"/>
  <c r="K46" i="9"/>
  <c r="J45" i="9"/>
  <c r="H45" i="9"/>
  <c r="G45" i="9"/>
  <c r="F45" i="9"/>
  <c r="E45" i="9"/>
  <c r="L45" i="9" s="1"/>
  <c r="J44" i="9"/>
  <c r="I44" i="9"/>
  <c r="H44" i="9"/>
  <c r="G44" i="9"/>
  <c r="L44" i="9" s="1"/>
  <c r="F44" i="9"/>
  <c r="E44" i="9"/>
  <c r="J43" i="9"/>
  <c r="I43" i="9"/>
  <c r="H43" i="9"/>
  <c r="G43" i="9"/>
  <c r="L43" i="9" s="1"/>
  <c r="F43" i="9"/>
  <c r="E43" i="9"/>
  <c r="J42" i="9"/>
  <c r="I42" i="9"/>
  <c r="I39" i="9" s="1"/>
  <c r="H42" i="9"/>
  <c r="G42" i="9"/>
  <c r="F42" i="9"/>
  <c r="E42" i="9"/>
  <c r="L42" i="9" s="1"/>
  <c r="H41" i="9"/>
  <c r="G41" i="9"/>
  <c r="F41" i="9"/>
  <c r="H40" i="9"/>
  <c r="F40" i="9"/>
  <c r="K39" i="9"/>
  <c r="H39" i="9"/>
  <c r="L38" i="9"/>
  <c r="J38" i="9"/>
  <c r="H38" i="9"/>
  <c r="G38" i="9"/>
  <c r="F38" i="9"/>
  <c r="E38" i="9"/>
  <c r="H37" i="9"/>
  <c r="G37" i="9"/>
  <c r="F37" i="9"/>
  <c r="H36" i="9"/>
  <c r="G36" i="9"/>
  <c r="F36" i="9"/>
  <c r="E36" i="9"/>
  <c r="H35" i="9"/>
  <c r="G35" i="9"/>
  <c r="F35" i="9"/>
  <c r="E35" i="9"/>
  <c r="L35" i="9" s="1"/>
  <c r="J34" i="9"/>
  <c r="I34" i="9"/>
  <c r="H34" i="9"/>
  <c r="G34" i="9"/>
  <c r="F34" i="9"/>
  <c r="J33" i="9"/>
  <c r="I33" i="9"/>
  <c r="H33" i="9"/>
  <c r="G33" i="9"/>
  <c r="F33" i="9"/>
  <c r="J32" i="9"/>
  <c r="J17" i="9" s="1"/>
  <c r="I32" i="9"/>
  <c r="I17" i="9" s="1"/>
  <c r="H32" i="9"/>
  <c r="G32" i="9"/>
  <c r="F32" i="9"/>
  <c r="E32" i="9"/>
  <c r="L32" i="9" s="1"/>
  <c r="H31" i="9"/>
  <c r="G31" i="9"/>
  <c r="F31" i="9"/>
  <c r="E31" i="9"/>
  <c r="H30" i="9"/>
  <c r="G30" i="9"/>
  <c r="F30" i="9"/>
  <c r="E30" i="9"/>
  <c r="H29" i="9"/>
  <c r="F29" i="9"/>
  <c r="H28" i="9"/>
  <c r="G28" i="9"/>
  <c r="F28" i="9"/>
  <c r="E28" i="9"/>
  <c r="L28" i="9" s="1"/>
  <c r="H27" i="9"/>
  <c r="G27" i="9"/>
  <c r="F27" i="9"/>
  <c r="E27" i="9"/>
  <c r="H26" i="9"/>
  <c r="G26" i="9"/>
  <c r="F26" i="9"/>
  <c r="H25" i="9"/>
  <c r="G25" i="9"/>
  <c r="F25" i="9"/>
  <c r="E25" i="9"/>
  <c r="L25" i="9" s="1"/>
  <c r="H24" i="9"/>
  <c r="G24" i="9"/>
  <c r="F24" i="9"/>
  <c r="E24" i="9"/>
  <c r="L24" i="9" s="1"/>
  <c r="H23" i="9"/>
  <c r="G23" i="9"/>
  <c r="F23" i="9"/>
  <c r="E23" i="9"/>
  <c r="L23" i="9" s="1"/>
  <c r="H22" i="9"/>
  <c r="H17" i="9" s="1"/>
  <c r="H16" i="9" s="1"/>
  <c r="G22" i="9"/>
  <c r="F22" i="9"/>
  <c r="E22" i="9"/>
  <c r="L22" i="9" s="1"/>
  <c r="H21" i="9"/>
  <c r="F21" i="9"/>
  <c r="E21" i="9"/>
  <c r="H20" i="9"/>
  <c r="G20" i="9"/>
  <c r="F20" i="9"/>
  <c r="E20" i="9"/>
  <c r="L20" i="9" s="1"/>
  <c r="H19" i="9"/>
  <c r="G19" i="9"/>
  <c r="F19" i="9"/>
  <c r="E19" i="9"/>
  <c r="L19" i="9" s="1"/>
  <c r="H18" i="9"/>
  <c r="G18" i="9"/>
  <c r="F18" i="9"/>
  <c r="K17" i="9"/>
  <c r="K16" i="9"/>
  <c r="L15" i="9"/>
  <c r="K15" i="9"/>
  <c r="J15" i="9"/>
  <c r="I15" i="9"/>
  <c r="H15" i="9"/>
  <c r="G15" i="9"/>
  <c r="F15" i="9"/>
  <c r="E15" i="9"/>
  <c r="L14" i="9"/>
  <c r="K14" i="9"/>
  <c r="I14" i="9"/>
  <c r="G14" i="9"/>
  <c r="E14" i="9"/>
  <c r="C11" i="9"/>
  <c r="C7" i="9"/>
  <c r="E23" i="8"/>
  <c r="F22" i="8"/>
  <c r="F23" i="8" s="1"/>
  <c r="E22" i="8"/>
  <c r="F17" i="8"/>
  <c r="E17" i="8"/>
  <c r="F14" i="8"/>
  <c r="E14" i="8"/>
  <c r="C11" i="8"/>
  <c r="C7" i="8"/>
  <c r="H116" i="7"/>
  <c r="G116" i="7"/>
  <c r="F116" i="7"/>
  <c r="E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G15" i="7"/>
  <c r="F15" i="7"/>
  <c r="E15" i="7"/>
  <c r="F14" i="7"/>
  <c r="E14" i="7"/>
  <c r="C11" i="7"/>
  <c r="C7" i="7"/>
  <c r="G14" i="6"/>
  <c r="F14" i="6"/>
  <c r="E14" i="6"/>
  <c r="C11" i="6"/>
  <c r="C7" i="6"/>
  <c r="H15" i="5"/>
  <c r="G15" i="5"/>
  <c r="F15" i="5"/>
  <c r="E15" i="5"/>
  <c r="G14" i="5"/>
  <c r="E14" i="5"/>
  <c r="C11" i="5"/>
  <c r="C7" i="5"/>
  <c r="E34" i="4"/>
  <c r="E28" i="4"/>
  <c r="E27" i="4"/>
  <c r="E14" i="4"/>
  <c r="C11" i="4"/>
  <c r="C7" i="4"/>
  <c r="G35" i="3"/>
  <c r="G34" i="3"/>
  <c r="C33" i="2"/>
  <c r="C32" i="2"/>
  <c r="C31" i="2"/>
  <c r="C30" i="2"/>
  <c r="C22" i="2"/>
  <c r="D13" i="1"/>
  <c r="G3" i="1"/>
  <c r="G4" i="1" s="1"/>
  <c r="D12" i="1" s="1"/>
  <c r="F18" i="17" l="1"/>
  <c r="F46" i="9"/>
  <c r="E17" i="17"/>
  <c r="L60" i="9"/>
  <c r="L59" i="9" s="1"/>
  <c r="H36" i="10"/>
  <c r="G28" i="15"/>
  <c r="G29" i="9"/>
  <c r="J18" i="10"/>
  <c r="J21" i="10"/>
  <c r="H23" i="10"/>
  <c r="J40" i="10"/>
  <c r="J44" i="10"/>
  <c r="E58" i="10"/>
  <c r="E50" i="10"/>
  <c r="E36" i="10" s="1"/>
  <c r="G19" i="11"/>
  <c r="G25" i="13"/>
  <c r="E26" i="9"/>
  <c r="L26" i="9" s="1"/>
  <c r="G42" i="13"/>
  <c r="E41" i="9"/>
  <c r="L41" i="9" s="1"/>
  <c r="E29" i="9"/>
  <c r="L29" i="9" s="1"/>
  <c r="L30" i="9"/>
  <c r="L31" i="9"/>
  <c r="I16" i="9"/>
  <c r="E51" i="9"/>
  <c r="E47" i="9" s="1"/>
  <c r="E46" i="9" s="1"/>
  <c r="J59" i="9"/>
  <c r="J46" i="9" s="1"/>
  <c r="H22" i="10"/>
  <c r="H17" i="10" s="1"/>
  <c r="H16" i="10" s="1"/>
  <c r="G59" i="10"/>
  <c r="G62" i="10" s="1"/>
  <c r="G64" i="10" s="1"/>
  <c r="G66" i="10" s="1"/>
  <c r="F35" i="10"/>
  <c r="F47" i="10" s="1"/>
  <c r="F66" i="10" s="1"/>
  <c r="F34" i="10"/>
  <c r="H29" i="10"/>
  <c r="F38" i="10"/>
  <c r="J57" i="10"/>
  <c r="H50" i="10"/>
  <c r="F27" i="11"/>
  <c r="I48" i="11"/>
  <c r="F43" i="11"/>
  <c r="F42" i="11" s="1"/>
  <c r="I57" i="11"/>
  <c r="G20" i="12"/>
  <c r="G17" i="12" s="1"/>
  <c r="G27" i="12" s="1"/>
  <c r="E17" i="12"/>
  <c r="E27" i="12" s="1"/>
  <c r="G15" i="3" s="1"/>
  <c r="G17" i="13"/>
  <c r="E18" i="9"/>
  <c r="E38" i="13"/>
  <c r="J68" i="20"/>
  <c r="I68" i="20"/>
  <c r="K68" i="20"/>
  <c r="J97" i="20"/>
  <c r="I97" i="20"/>
  <c r="K97" i="20"/>
  <c r="K52" i="22"/>
  <c r="F17" i="9"/>
  <c r="H51" i="9"/>
  <c r="H47" i="9" s="1"/>
  <c r="L56" i="9"/>
  <c r="I59" i="9"/>
  <c r="I46" i="9" s="1"/>
  <c r="E20" i="10"/>
  <c r="J34" i="10"/>
  <c r="I36" i="10"/>
  <c r="J46" i="10"/>
  <c r="G43" i="11"/>
  <c r="G42" i="11" s="1"/>
  <c r="I45" i="11"/>
  <c r="G33" i="13"/>
  <c r="E34" i="9"/>
  <c r="L34" i="9" s="1"/>
  <c r="G36" i="13"/>
  <c r="E37" i="9"/>
  <c r="L37" i="9" s="1"/>
  <c r="E35" i="15"/>
  <c r="G17" i="15"/>
  <c r="G35" i="15" s="1"/>
  <c r="G20" i="15"/>
  <c r="G21" i="9"/>
  <c r="L21" i="9" s="1"/>
  <c r="M71" i="22"/>
  <c r="M52" i="22"/>
  <c r="L52" i="9"/>
  <c r="J51" i="10"/>
  <c r="F50" i="10"/>
  <c r="J27" i="20"/>
  <c r="I27" i="20"/>
  <c r="K27" i="20"/>
  <c r="L27" i="9"/>
  <c r="L36" i="9"/>
  <c r="F39" i="9"/>
  <c r="J39" i="9"/>
  <c r="J16" i="9" s="1"/>
  <c r="E27" i="10"/>
  <c r="E24" i="10"/>
  <c r="F19" i="11"/>
  <c r="G23" i="12"/>
  <c r="G22" i="12" s="1"/>
  <c r="F22" i="12"/>
  <c r="F52" i="20"/>
  <c r="J56" i="20"/>
  <c r="I71" i="22"/>
  <c r="I52" i="22"/>
  <c r="J39" i="10"/>
  <c r="E27" i="11"/>
  <c r="E19" i="11" s="1"/>
  <c r="E17" i="11" s="1"/>
  <c r="E18" i="11" s="1"/>
  <c r="I33" i="11"/>
  <c r="I64" i="11"/>
  <c r="E33" i="9"/>
  <c r="L33" i="9" s="1"/>
  <c r="G24" i="10"/>
  <c r="G23" i="10" s="1"/>
  <c r="G16" i="10" s="1"/>
  <c r="I32" i="11"/>
  <c r="I27" i="11" s="1"/>
  <c r="I19" i="11" s="1"/>
  <c r="I36" i="11"/>
  <c r="I63" i="11"/>
  <c r="F17" i="12"/>
  <c r="G46" i="13"/>
  <c r="G19" i="14"/>
  <c r="G38" i="15"/>
  <c r="G44" i="15"/>
  <c r="I25" i="20"/>
  <c r="J26" i="20"/>
  <c r="I26" i="20"/>
  <c r="K26" i="20"/>
  <c r="J30" i="20"/>
  <c r="I30" i="20"/>
  <c r="K30" i="20"/>
  <c r="J67" i="20"/>
  <c r="I67" i="20"/>
  <c r="K67" i="20"/>
  <c r="I82" i="20"/>
  <c r="E17" i="19"/>
  <c r="K16" i="22"/>
  <c r="K70" i="22" s="1"/>
  <c r="S16" i="22"/>
  <c r="S70" i="22" s="1"/>
  <c r="T39" i="22"/>
  <c r="T16" i="22" s="1"/>
  <c r="F71" i="22"/>
  <c r="G71" i="22"/>
  <c r="G52" i="22"/>
  <c r="L71" i="22"/>
  <c r="T53" i="22"/>
  <c r="O71" i="22"/>
  <c r="O52" i="22"/>
  <c r="Q71" i="22"/>
  <c r="Q52" i="22"/>
  <c r="K35" i="24"/>
  <c r="K31" i="24" s="1"/>
  <c r="J35" i="24"/>
  <c r="I35" i="24"/>
  <c r="AE48" i="25"/>
  <c r="H56" i="11"/>
  <c r="H17" i="11" s="1"/>
  <c r="H18" i="11" s="1"/>
  <c r="I65" i="11"/>
  <c r="E62" i="11"/>
  <c r="E56" i="11" s="1"/>
  <c r="G24" i="18"/>
  <c r="G16" i="20"/>
  <c r="K25" i="20"/>
  <c r="J28" i="20"/>
  <c r="I28" i="20"/>
  <c r="K28" i="20"/>
  <c r="I69" i="20"/>
  <c r="K90" i="20"/>
  <c r="J96" i="20"/>
  <c r="J98" i="20"/>
  <c r="I98" i="20"/>
  <c r="K98" i="20"/>
  <c r="M70" i="22"/>
  <c r="I70" i="22"/>
  <c r="V43" i="22"/>
  <c r="V39" i="22" s="1"/>
  <c r="V16" i="22" s="1"/>
  <c r="J54" i="22"/>
  <c r="U71" i="22"/>
  <c r="F16" i="24"/>
  <c r="F49" i="24" s="1"/>
  <c r="J19" i="24"/>
  <c r="I19" i="24"/>
  <c r="K19" i="24"/>
  <c r="F24" i="10"/>
  <c r="J29" i="20"/>
  <c r="I29" i="20"/>
  <c r="K29" i="20"/>
  <c r="I53" i="20"/>
  <c r="F66" i="20"/>
  <c r="J66" i="20" s="1"/>
  <c r="J81" i="20"/>
  <c r="I81" i="20"/>
  <c r="K81" i="20"/>
  <c r="J99" i="20"/>
  <c r="I99" i="20"/>
  <c r="K99" i="20"/>
  <c r="S71" i="22"/>
  <c r="S52" i="22"/>
  <c r="I68" i="25"/>
  <c r="Q68" i="25"/>
  <c r="M16" i="25"/>
  <c r="F43" i="18"/>
  <c r="G43" i="18" s="1"/>
  <c r="E16" i="20"/>
  <c r="I17" i="20"/>
  <c r="I18" i="20"/>
  <c r="I40" i="20"/>
  <c r="I41" i="20"/>
  <c r="I42" i="20"/>
  <c r="I43" i="20"/>
  <c r="I44" i="20"/>
  <c r="I45" i="20"/>
  <c r="I46" i="20"/>
  <c r="G52" i="20"/>
  <c r="K52" i="20" s="1"/>
  <c r="I57" i="20"/>
  <c r="I58" i="20"/>
  <c r="I59" i="20"/>
  <c r="E72" i="20"/>
  <c r="I72" i="20" s="1"/>
  <c r="I73" i="20"/>
  <c r="J77" i="20"/>
  <c r="J78" i="20"/>
  <c r="J79" i="20"/>
  <c r="G80" i="20"/>
  <c r="K80" i="20" s="1"/>
  <c r="E88" i="20"/>
  <c r="I88" i="20" s="1"/>
  <c r="I89" i="20"/>
  <c r="J91" i="20"/>
  <c r="J92" i="20"/>
  <c r="J93" i="20"/>
  <c r="J94" i="20"/>
  <c r="J95" i="20"/>
  <c r="E54" i="22"/>
  <c r="E53" i="22" s="1"/>
  <c r="E70" i="22" s="1"/>
  <c r="E16" i="24"/>
  <c r="E49" i="24" s="1"/>
  <c r="J18" i="24"/>
  <c r="I18" i="24"/>
  <c r="K18" i="24"/>
  <c r="K17" i="24" s="1"/>
  <c r="J22" i="24"/>
  <c r="I22" i="24"/>
  <c r="K22" i="24"/>
  <c r="P68" i="25"/>
  <c r="O16" i="25"/>
  <c r="H53" i="22"/>
  <c r="J62" i="22"/>
  <c r="N62" i="22"/>
  <c r="N53" i="22" s="1"/>
  <c r="R62" i="22"/>
  <c r="R53" i="22" s="1"/>
  <c r="V62" i="22"/>
  <c r="V53" i="22" s="1"/>
  <c r="J20" i="24"/>
  <c r="I20" i="24"/>
  <c r="K20" i="24"/>
  <c r="I44" i="24"/>
  <c r="K44" i="24"/>
  <c r="J44" i="24"/>
  <c r="Z16" i="25"/>
  <c r="AE41" i="25"/>
  <c r="G48" i="25"/>
  <c r="G65" i="25" s="1"/>
  <c r="M65" i="25" s="1"/>
  <c r="G44" i="18"/>
  <c r="G46" i="18" s="1"/>
  <c r="J21" i="24"/>
  <c r="I21" i="24"/>
  <c r="K21" i="24"/>
  <c r="H48" i="25"/>
  <c r="H65" i="25" s="1"/>
  <c r="H68" i="25" s="1"/>
  <c r="H16" i="25"/>
  <c r="R48" i="25"/>
  <c r="R65" i="25" s="1"/>
  <c r="R16" i="25"/>
  <c r="I48" i="25"/>
  <c r="I65" i="25" s="1"/>
  <c r="I67" i="25" s="1"/>
  <c r="I16" i="25"/>
  <c r="S48" i="25"/>
  <c r="S65" i="25" s="1"/>
  <c r="S16" i="25"/>
  <c r="W16" i="25"/>
  <c r="W48" i="25"/>
  <c r="W65" i="25" s="1"/>
  <c r="AA16" i="25"/>
  <c r="AA48" i="25"/>
  <c r="AA65" i="25" s="1"/>
  <c r="AA67" i="25" s="1"/>
  <c r="AD48" i="25"/>
  <c r="AD65" i="25" s="1"/>
  <c r="O67" i="25"/>
  <c r="L26" i="37"/>
  <c r="M26" i="37" s="1"/>
  <c r="G26" i="37"/>
  <c r="J30" i="37"/>
  <c r="L30" i="37"/>
  <c r="M30" i="37" s="1"/>
  <c r="I33" i="24"/>
  <c r="I31" i="24" s="1"/>
  <c r="J34" i="24"/>
  <c r="J31" i="24" s="1"/>
  <c r="I37" i="24"/>
  <c r="J42" i="24"/>
  <c r="J41" i="24" s="1"/>
  <c r="K43" i="24"/>
  <c r="K41" i="24" s="1"/>
  <c r="J46" i="24"/>
  <c r="L69" i="25"/>
  <c r="J16" i="25"/>
  <c r="Q48" i="25"/>
  <c r="Q65" i="25" s="1"/>
  <c r="U48" i="25"/>
  <c r="U65" i="25" s="1"/>
  <c r="U67" i="25" s="1"/>
  <c r="Y48" i="25"/>
  <c r="Y65" i="25" s="1"/>
  <c r="Y68" i="25" s="1"/>
  <c r="AC48" i="25"/>
  <c r="AC65" i="25" s="1"/>
  <c r="H49" i="25"/>
  <c r="X49" i="25"/>
  <c r="AE49" i="25" s="1"/>
  <c r="E49" i="25"/>
  <c r="I49" i="25"/>
  <c r="M63" i="25"/>
  <c r="S63" i="25"/>
  <c r="S66" i="25" s="1"/>
  <c r="S67" i="25" s="1"/>
  <c r="Y49" i="25"/>
  <c r="AC49" i="25"/>
  <c r="AC63" i="25"/>
  <c r="AC66" i="25" s="1"/>
  <c r="AC67" i="25" s="1"/>
  <c r="AC69" i="25" s="1"/>
  <c r="F49" i="25"/>
  <c r="J49" i="25"/>
  <c r="Z49" i="25"/>
  <c r="AD49" i="25"/>
  <c r="E63" i="25"/>
  <c r="E66" i="25" s="1"/>
  <c r="N68" i="25"/>
  <c r="R68" i="25"/>
  <c r="R69" i="25" s="1"/>
  <c r="Q67" i="25"/>
  <c r="W67" i="25"/>
  <c r="I34" i="24"/>
  <c r="I41" i="24"/>
  <c r="J43" i="24"/>
  <c r="P48" i="25"/>
  <c r="P65" i="25" s="1"/>
  <c r="P67" i="25" s="1"/>
  <c r="P16" i="25"/>
  <c r="V16" i="25" s="1"/>
  <c r="T48" i="25"/>
  <c r="T65" i="25" s="1"/>
  <c r="T67" i="25" s="1"/>
  <c r="T69" i="25" s="1"/>
  <c r="T16" i="25"/>
  <c r="X48" i="25"/>
  <c r="X65" i="25" s="1"/>
  <c r="X68" i="25" s="1"/>
  <c r="X69" i="25" s="1"/>
  <c r="X16" i="25"/>
  <c r="AB48" i="25"/>
  <c r="AB65" i="25" s="1"/>
  <c r="AB68" i="25" s="1"/>
  <c r="AB16" i="25"/>
  <c r="R63" i="25"/>
  <c r="R66" i="25" s="1"/>
  <c r="R67" i="25" s="1"/>
  <c r="R49" i="25"/>
  <c r="X67" i="25"/>
  <c r="N63" i="25"/>
  <c r="N66" i="25" s="1"/>
  <c r="N49" i="25"/>
  <c r="M17" i="37"/>
  <c r="L18" i="37"/>
  <c r="G18" i="37"/>
  <c r="F16" i="37"/>
  <c r="J40" i="37"/>
  <c r="L40" i="37"/>
  <c r="M40" i="37" s="1"/>
  <c r="F23" i="26"/>
  <c r="F18" i="23" s="1"/>
  <c r="H18" i="23" s="1"/>
  <c r="K16" i="37"/>
  <c r="M18" i="37"/>
  <c r="M19" i="37"/>
  <c r="J20" i="37"/>
  <c r="L20" i="37"/>
  <c r="M20" i="37" s="1"/>
  <c r="L32" i="37"/>
  <c r="G32" i="37"/>
  <c r="L34" i="37"/>
  <c r="G34" i="37"/>
  <c r="L42" i="37"/>
  <c r="M42" i="37" s="1"/>
  <c r="G42" i="37"/>
  <c r="M45" i="37"/>
  <c r="J46" i="37"/>
  <c r="L46" i="37"/>
  <c r="M46" i="37" s="1"/>
  <c r="M20" i="40"/>
  <c r="M17" i="40"/>
  <c r="M18" i="40"/>
  <c r="H30" i="29"/>
  <c r="E17" i="27" s="1"/>
  <c r="E20" i="27" s="1"/>
  <c r="E23" i="17" s="1"/>
  <c r="G33" i="3" s="1"/>
  <c r="H30" i="31"/>
  <c r="E19" i="27" s="1"/>
  <c r="J24" i="37"/>
  <c r="L24" i="37"/>
  <c r="M24" i="37" s="1"/>
  <c r="L28" i="37"/>
  <c r="M28" i="37" s="1"/>
  <c r="G28" i="37"/>
  <c r="L38" i="37"/>
  <c r="M38" i="37" s="1"/>
  <c r="G38" i="37"/>
  <c r="K69" i="25"/>
  <c r="O68" i="25"/>
  <c r="O69" i="25" s="1"/>
  <c r="W68" i="25"/>
  <c r="W69" i="25" s="1"/>
  <c r="Q49" i="25"/>
  <c r="F63" i="25"/>
  <c r="F66" i="25" s="1"/>
  <c r="F67" i="25" s="1"/>
  <c r="J63" i="25"/>
  <c r="J66" i="25" s="1"/>
  <c r="J67" i="25" s="1"/>
  <c r="V63" i="25"/>
  <c r="Z63" i="25"/>
  <c r="Z66" i="25" s="1"/>
  <c r="Z67" i="25" s="1"/>
  <c r="AD63" i="25"/>
  <c r="AD66" i="25" s="1"/>
  <c r="AD67" i="25" s="1"/>
  <c r="H30" i="30"/>
  <c r="E18" i="27" s="1"/>
  <c r="I16" i="37"/>
  <c r="J16" i="37"/>
  <c r="L22" i="37"/>
  <c r="M22" i="37" s="1"/>
  <c r="G22" i="37"/>
  <c r="M32" i="37"/>
  <c r="M34" i="37"/>
  <c r="K33" i="37"/>
  <c r="M35" i="37"/>
  <c r="J36" i="37"/>
  <c r="L36" i="37"/>
  <c r="M36" i="37" s="1"/>
  <c r="I33" i="37"/>
  <c r="M43" i="37"/>
  <c r="J44" i="37"/>
  <c r="J33" i="37" s="1"/>
  <c r="L44" i="37"/>
  <c r="M44" i="37" s="1"/>
  <c r="L48" i="37"/>
  <c r="M48" i="37" s="1"/>
  <c r="G48" i="37"/>
  <c r="L20" i="40"/>
  <c r="G17" i="37"/>
  <c r="G21" i="37"/>
  <c r="G25" i="37"/>
  <c r="G31" i="37"/>
  <c r="G37" i="37"/>
  <c r="G41" i="37"/>
  <c r="G47" i="37"/>
  <c r="F40" i="13" l="1"/>
  <c r="F48" i="13" s="1"/>
  <c r="F49" i="13" s="1"/>
  <c r="E40" i="13"/>
  <c r="Y69" i="25"/>
  <c r="V70" i="22"/>
  <c r="M33" i="37"/>
  <c r="Y67" i="25"/>
  <c r="F59" i="10"/>
  <c r="F62" i="10" s="1"/>
  <c r="F64" i="10" s="1"/>
  <c r="G16" i="37"/>
  <c r="S68" i="25"/>
  <c r="S69" i="25" s="1"/>
  <c r="L33" i="37"/>
  <c r="L16" i="37"/>
  <c r="Z68" i="25"/>
  <c r="Z69" i="25" s="1"/>
  <c r="F68" i="25"/>
  <c r="F69" i="25" s="1"/>
  <c r="AE16" i="25"/>
  <c r="N52" i="22"/>
  <c r="N71" i="22"/>
  <c r="J17" i="24"/>
  <c r="J16" i="24" s="1"/>
  <c r="J49" i="24" s="1"/>
  <c r="F16" i="23" s="1"/>
  <c r="G66" i="20"/>
  <c r="K66" i="20" s="1"/>
  <c r="V65" i="25"/>
  <c r="U68" i="25"/>
  <c r="U69" i="25" s="1"/>
  <c r="I62" i="11"/>
  <c r="J52" i="20"/>
  <c r="F16" i="20"/>
  <c r="I43" i="11"/>
  <c r="I42" i="11" s="1"/>
  <c r="I17" i="11" s="1"/>
  <c r="I18" i="11" s="1"/>
  <c r="F16" i="9"/>
  <c r="P52" i="22"/>
  <c r="G38" i="13"/>
  <c r="I56" i="11"/>
  <c r="G17" i="11"/>
  <c r="G18" i="11" s="1"/>
  <c r="M16" i="37"/>
  <c r="M49" i="25"/>
  <c r="J53" i="22"/>
  <c r="J70" i="22" s="1"/>
  <c r="E66" i="20"/>
  <c r="I66" i="20" s="1"/>
  <c r="V52" i="22"/>
  <c r="T71" i="22"/>
  <c r="T52" i="22"/>
  <c r="J27" i="10"/>
  <c r="E29" i="10"/>
  <c r="K71" i="22"/>
  <c r="P71" i="22" s="1"/>
  <c r="E21" i="17" s="1"/>
  <c r="G29" i="3" s="1"/>
  <c r="G20" i="3"/>
  <c r="G19" i="3"/>
  <c r="AA68" i="25"/>
  <c r="AA69" i="25" s="1"/>
  <c r="H71" i="22"/>
  <c r="H52" i="22"/>
  <c r="AB67" i="25"/>
  <c r="AB69" i="25" s="1"/>
  <c r="AE69" i="25" s="1"/>
  <c r="K16" i="24"/>
  <c r="K49" i="24" s="1"/>
  <c r="E71" i="22"/>
  <c r="J71" i="22" s="1"/>
  <c r="F21" i="17" s="1"/>
  <c r="G30" i="3" s="1"/>
  <c r="E52" i="22"/>
  <c r="J52" i="22" s="1"/>
  <c r="I16" i="20"/>
  <c r="I100" i="20" s="1"/>
  <c r="E16" i="19" s="1"/>
  <c r="E18" i="19" s="1"/>
  <c r="E20" i="17" s="1"/>
  <c r="I69" i="25"/>
  <c r="F23" i="10"/>
  <c r="F16" i="10" s="1"/>
  <c r="H70" i="22"/>
  <c r="G100" i="20"/>
  <c r="K16" i="20"/>
  <c r="K100" i="20" s="1"/>
  <c r="T70" i="22"/>
  <c r="L51" i="9"/>
  <c r="L47" i="9" s="1"/>
  <c r="L46" i="9" s="1"/>
  <c r="N70" i="22"/>
  <c r="G23" i="3"/>
  <c r="E18" i="17"/>
  <c r="G26" i="3" s="1"/>
  <c r="H46" i="9"/>
  <c r="G13" i="3" s="1"/>
  <c r="G21" i="3"/>
  <c r="F37" i="10"/>
  <c r="F36" i="10" s="1"/>
  <c r="G17" i="3"/>
  <c r="P69" i="25"/>
  <c r="Q69" i="25"/>
  <c r="E16" i="17"/>
  <c r="G25" i="3"/>
  <c r="V49" i="25"/>
  <c r="G67" i="25"/>
  <c r="M66" i="25"/>
  <c r="M67" i="25" s="1"/>
  <c r="E67" i="25"/>
  <c r="G68" i="25"/>
  <c r="G69" i="25" s="1"/>
  <c r="G33" i="37"/>
  <c r="N67" i="25"/>
  <c r="N69" i="25" s="1"/>
  <c r="V69" i="25" s="1"/>
  <c r="F17" i="23" s="1"/>
  <c r="V66" i="25"/>
  <c r="V67" i="25" s="1"/>
  <c r="H67" i="25"/>
  <c r="H69" i="25" s="1"/>
  <c r="AD68" i="25"/>
  <c r="AD69" i="25" s="1"/>
  <c r="J68" i="25"/>
  <c r="J69" i="25" s="1"/>
  <c r="AE65" i="25"/>
  <c r="AE66" i="25"/>
  <c r="R52" i="22"/>
  <c r="R71" i="22"/>
  <c r="V71" i="22" s="1"/>
  <c r="R70" i="22"/>
  <c r="I17" i="24"/>
  <c r="I16" i="24" s="1"/>
  <c r="I49" i="24" s="1"/>
  <c r="E16" i="23" s="1"/>
  <c r="E68" i="25"/>
  <c r="F27" i="12"/>
  <c r="G16" i="3" s="1"/>
  <c r="F17" i="11"/>
  <c r="F18" i="11" s="1"/>
  <c r="E22" i="10"/>
  <c r="J20" i="10"/>
  <c r="E17" i="9"/>
  <c r="L18" i="9"/>
  <c r="L17" i="9" s="1"/>
  <c r="H59" i="10"/>
  <c r="H62" i="10" s="1"/>
  <c r="H64" i="10" s="1"/>
  <c r="H66" i="10" s="1"/>
  <c r="G58" i="10"/>
  <c r="G50" i="10" s="1"/>
  <c r="G36" i="10" s="1"/>
  <c r="G17" i="9"/>
  <c r="F37" i="15" l="1"/>
  <c r="F45" i="15" s="1"/>
  <c r="F46" i="15" s="1"/>
  <c r="E37" i="15"/>
  <c r="F100" i="20"/>
  <c r="J16" i="20"/>
  <c r="J100" i="20" s="1"/>
  <c r="F16" i="19" s="1"/>
  <c r="F18" i="19" s="1"/>
  <c r="F20" i="17" s="1"/>
  <c r="J22" i="10"/>
  <c r="E17" i="10"/>
  <c r="H16" i="23"/>
  <c r="H19" i="23" s="1"/>
  <c r="AE67" i="25"/>
  <c r="E100" i="20"/>
  <c r="F17" i="17"/>
  <c r="F16" i="17" s="1"/>
  <c r="G11" i="3"/>
  <c r="E48" i="13"/>
  <c r="G40" i="13"/>
  <c r="G48" i="13" s="1"/>
  <c r="G49" i="13" s="1"/>
  <c r="E40" i="9"/>
  <c r="G27" i="3"/>
  <c r="E35" i="10"/>
  <c r="J35" i="10" s="1"/>
  <c r="J29" i="10"/>
  <c r="E69" i="25"/>
  <c r="M69" i="25" s="1"/>
  <c r="E17" i="23" s="1"/>
  <c r="H17" i="23" s="1"/>
  <c r="J58" i="10"/>
  <c r="F19" i="23"/>
  <c r="E22" i="17" s="1"/>
  <c r="G31" i="3" s="1"/>
  <c r="E39" i="9" l="1"/>
  <c r="E16" i="9" s="1"/>
  <c r="G10" i="3" s="1"/>
  <c r="E59" i="10"/>
  <c r="G22" i="3"/>
  <c r="E49" i="13"/>
  <c r="E19" i="23"/>
  <c r="F22" i="17" s="1"/>
  <c r="G32" i="3" s="1"/>
  <c r="G37" i="15"/>
  <c r="G45" i="15" s="1"/>
  <c r="G46" i="15" s="1"/>
  <c r="E45" i="15"/>
  <c r="G40" i="9"/>
  <c r="G39" i="9" s="1"/>
  <c r="G16" i="9" s="1"/>
  <c r="G12" i="3" s="1"/>
  <c r="E19" i="17"/>
  <c r="E32" i="17" s="1"/>
  <c r="E36" i="17" s="1"/>
  <c r="G28" i="3"/>
  <c r="F19" i="17"/>
  <c r="F32" i="17" s="1"/>
  <c r="E23" i="10"/>
  <c r="E16" i="10" s="1"/>
  <c r="F36" i="17" l="1"/>
  <c r="F35" i="17" s="1"/>
  <c r="F38" i="17" s="1"/>
  <c r="E35" i="17"/>
  <c r="E38" i="17" s="1"/>
  <c r="G24" i="3"/>
  <c r="E46" i="15"/>
  <c r="J59" i="10"/>
  <c r="E62" i="10"/>
  <c r="L40" i="9"/>
  <c r="L39" i="9" s="1"/>
  <c r="L16" i="9" s="1"/>
  <c r="G14" i="3" s="1"/>
  <c r="E64" i="10" l="1"/>
  <c r="J62" i="10"/>
  <c r="J64" i="10" l="1"/>
  <c r="E66" i="10"/>
  <c r="J66" i="10" l="1"/>
  <c r="G18" i="3"/>
  <c r="G7" i="3" s="1"/>
</calcChain>
</file>

<file path=xl/comments1.xml><?xml version="1.0" encoding="utf-8"?>
<comments xmlns="http://schemas.openxmlformats.org/spreadsheetml/2006/main">
  <authors>
    <author>System</author>
  </authors>
  <commentList>
    <comment ref="D5" authorId="0" shapeId="0">
      <text>
        <r>
          <rPr>
            <sz val="11"/>
            <rFont val="Calibri"/>
          </rPr>
          <t>Format Tanggal: DD-MMM-YYYY</t>
        </r>
      </text>
    </comment>
    <comment ref="D6" authorId="0" shapeId="0">
      <text>
        <r>
          <rPr>
            <sz val="11"/>
            <rFont val="Calibri"/>
          </rPr>
          <t>Mohon pastikan kode perusahaan anda kepada petugas/pejabat OJK yang terkait</t>
        </r>
      </text>
    </comment>
    <comment ref="D8" authorId="0" shapeId="0">
      <text>
        <r>
          <rPr>
            <sz val="11"/>
            <rFont val="Calibri"/>
          </rPr>
          <t>Diisi dengan domisili sesuai dengan akta untuk perusahaan/pihak institusi, atau kartu identitas untuk pihak individu</t>
        </r>
      </text>
    </comment>
    <comment ref="D11" authorId="0" shapeId="0">
      <text>
        <r>
          <rPr>
            <sz val="11"/>
            <rFont val="Calibri"/>
          </rPr>
          <t>Format Tanggal: DD-MMM-YYYY</t>
        </r>
      </text>
    </comment>
    <comment ref="D15" authorId="0" shapeId="0">
      <text>
        <r>
          <rPr>
            <sz val="11"/>
            <rFont val="Calibri"/>
          </rPr>
          <t>Penanggung jawab dapat diisi oleh pihak yang bertanggung jawab pada satu entitas/individu (diri sendiri)</t>
        </r>
      </text>
    </comment>
  </commentList>
</comments>
</file>

<file path=xl/comments2.xml><?xml version="1.0" encoding="utf-8"?>
<comments xmlns="http://schemas.openxmlformats.org/spreadsheetml/2006/main">
  <authors>
    <author>System</author>
  </authors>
  <commentList>
    <comment ref="E14" authorId="0" shapeId="0">
      <text>
        <r>
          <rPr>
            <sz val="11"/>
            <rFont val="Calibri"/>
          </rPr>
          <t>Rupiah</t>
        </r>
      </text>
    </comment>
    <comment ref="G14" authorId="0" shapeId="0">
      <text>
        <r>
          <rPr>
            <sz val="11"/>
            <rFont val="Calibri"/>
          </rPr>
          <t>Persentase</t>
        </r>
      </text>
    </comment>
  </commentList>
</comments>
</file>

<file path=xl/comments3.xml><?xml version="1.0" encoding="utf-8"?>
<comments xmlns="http://schemas.openxmlformats.org/spreadsheetml/2006/main">
  <authors>
    <author>System</author>
  </authors>
  <commentList>
    <comment ref="E14" authorId="0" shapeId="0">
      <text>
        <r>
          <rPr>
            <sz val="11"/>
            <rFont val="Calibri"/>
          </rPr>
          <t>Anggaran</t>
        </r>
      </text>
    </comment>
    <comment ref="F14" authorId="0" shapeId="0">
      <text>
        <r>
          <rPr>
            <sz val="11"/>
            <rFont val="Calibri"/>
          </rPr>
          <t>Persentase</t>
        </r>
      </text>
    </comment>
  </commentList>
</comments>
</file>

<file path=xl/sharedStrings.xml><?xml version="1.0" encoding="utf-8"?>
<sst xmlns="http://schemas.openxmlformats.org/spreadsheetml/2006/main" count="3883" uniqueCount="820">
  <si>
    <t>B</t>
  </si>
  <si>
    <t>LBRSY</t>
  </si>
  <si>
    <t>Data Umum</t>
  </si>
  <si>
    <t>Januari</t>
  </si>
  <si>
    <t>ASSYR</t>
  </si>
  <si>
    <t>Versi Laporan</t>
  </si>
  <si>
    <t>3/4/2019 1:52:24 PM</t>
  </si>
  <si>
    <t>Februari</t>
  </si>
  <si>
    <t>1</t>
  </si>
  <si>
    <t>Tanggal Pelaporan</t>
  </si>
  <si>
    <t>Maret</t>
  </si>
  <si>
    <t>N</t>
  </si>
  <si>
    <t>Kode Perusahaan / Pihak</t>
  </si>
  <si>
    <t>April</t>
  </si>
  <si>
    <t>Nama Perusahaan / Pihak</t>
  </si>
  <si>
    <t>Mei</t>
  </si>
  <si>
    <t>Alamat Perusahaan / Pihak</t>
  </si>
  <si>
    <t>Juni</t>
  </si>
  <si>
    <t>Juli</t>
  </si>
  <si>
    <t>Agustus</t>
  </si>
  <si>
    <t>Periode Pelaporan</t>
  </si>
  <si>
    <t>September</t>
  </si>
  <si>
    <t>Bulan Pelaporan</t>
  </si>
  <si>
    <t>Oktober</t>
  </si>
  <si>
    <t>Tahun Fiskal</t>
  </si>
  <si>
    <t>November</t>
  </si>
  <si>
    <t>Jenis Periode Pelaporan</t>
  </si>
  <si>
    <t>Laporan Bulanan</t>
  </si>
  <si>
    <t>Desember</t>
  </si>
  <si>
    <t>Nama Direksi / Penanggung Jawab</t>
  </si>
  <si>
    <t>Jabatan Direksi / Penanggung Jawab</t>
  </si>
  <si>
    <t>K e p a d a</t>
  </si>
  <si>
    <t>Yth.Direktorat IKNB Syariah</t>
  </si>
  <si>
    <t>Otoritas Jasa Keuangan</t>
  </si>
  <si>
    <t>Gedung Menara Merdeka, Lantai 23</t>
  </si>
  <si>
    <t>Jl. Budi Kemuliaan 1 No.2</t>
  </si>
  <si>
    <t>Jakarta - 10110</t>
  </si>
  <si>
    <t>LAPORAN BULANAN REASURANSI SYARIAH</t>
  </si>
  <si>
    <t xml:space="preserve"> </t>
  </si>
  <si>
    <t>Status</t>
  </si>
  <si>
    <t>Status Validitas Laporan Secara Keseluruhan</t>
  </si>
  <si>
    <t>No</t>
  </si>
  <si>
    <t>Sheet</t>
  </si>
  <si>
    <t>Keterangan</t>
  </si>
  <si>
    <t>Formula</t>
  </si>
  <si>
    <t>LPKREU-SY</t>
  </si>
  <si>
    <t>Jumlah Aset (DP-SAK) = Jumlah Liabilitas dan Ekuitas (DP-SAK)</t>
  </si>
  <si>
    <t>=ROUND('LPKRE-SY'!E16,2)=ROUND('LPKRE-SY'!E46,2)</t>
  </si>
  <si>
    <t>Jumlah Aset (DP-SAP) = Jumlah Liabilitas dan Ekuitas (DP-SAP)</t>
  </si>
  <si>
    <t>=ROUND('LPKRE-SY'!f16,2)=ROUND('LPKRE-SY'!f46,2)</t>
  </si>
  <si>
    <t>Jumlah Aset (DT-SAK) = Jumlah Liabilitas dan Ekuitas (DT-SAK)</t>
  </si>
  <si>
    <t>=ROUND('LPKRE-SY'!G16,2)=ROUND('LPKRE-SY'!G46,2)</t>
  </si>
  <si>
    <t>Jumlah Aset (DT-SAP) = Jumlah Liabilitas dan Ekuitas (DT-SAP)</t>
  </si>
  <si>
    <t>=ROUND('LPKRE-SY'!H16,2)=ROUND('LPKRE-SY'!H46,2)</t>
  </si>
  <si>
    <t>Jumlah Aset (Gabungan) = Jumlah Liabilitas dan Ekuitas (Gabungan)</t>
  </si>
  <si>
    <t>=ROUND('LPKRE-SY'!L16,2)=ROUND('LPKRE-SY'!L46,2)</t>
  </si>
  <si>
    <t>Ekuitas Dana (DP-SAK) = Saldo Akhir Dana (DP-SAK)</t>
  </si>
  <si>
    <t>=ROUND('LPKRE-SY'!E59,2)=ROUND(LPDR!E27,2)</t>
  </si>
  <si>
    <t>Ekuitas Dana (DT) = Saldo Akhir Dana (DT)</t>
  </si>
  <si>
    <t>=ROUND('LPKRE-SY'!G59,2)=ROUND(LPDR!F27,2)</t>
  </si>
  <si>
    <t>Ekuitas Dana (Gabungan) = Saldo Akhir Dana (Gabungan)</t>
  </si>
  <si>
    <t>=ROUND('LPKRE-SY'!L59,2)=ROUND(LPDR!G27,2)</t>
  </si>
  <si>
    <t>LPDR</t>
  </si>
  <si>
    <t>Laba komprehensif periode berjalan (DP) = Jumlah Kinerja Seluruh Dana (DP)</t>
  </si>
  <si>
    <t>=ROUND(LPDR!E19,2)=ROUND(LKKRE!E66,2)</t>
  </si>
  <si>
    <t>Kenaikan (penurunan) akumulasi dana tabarru'/dana investasi peserta (DT) =  Jumlah Kinerja Seluruh Dana (DT)</t>
  </si>
  <si>
    <t>=ROUND(LPDR!F20,2)=ROUND(LKKRE!F66,2)</t>
  </si>
  <si>
    <t>DP-R</t>
  </si>
  <si>
    <t>Jumlah Investasi (DP) Analisis DP = Jumlah Investasi (DP) LPK</t>
  </si>
  <si>
    <t>=ROUND('DP-R'!E38,2)=ROUND('LPKRE-SY'!E17,2)</t>
  </si>
  <si>
    <t>Jumlah Bukan Investasi (DP) Analisis DP = Jumlah Bukan Investasi (DP) LPK</t>
  </si>
  <si>
    <t>=ROUND('DP-R'!E48,2)=ROUND('LPKRE-SY'!E39,2)</t>
  </si>
  <si>
    <t>DTUR</t>
  </si>
  <si>
    <t>Jumlah Investasi (DT) Analisis DT= Jumlah Investasi (DT) LPK</t>
  </si>
  <si>
    <t>=ROUND(DTUR!E35,2)=ROUND('LPKRE-SY'!G17,2)</t>
  </si>
  <si>
    <t>Jumlah Bukan Investasi (DT) Analisis DT= Jumlah Bukan Investasi (DT) LPK</t>
  </si>
  <si>
    <t>=ROUND(DTUR!E45,2)=ROUND('LPKRE-SY'!G39,2)</t>
  </si>
  <si>
    <t>RPTSRES</t>
  </si>
  <si>
    <t>Aset yang Diperkenankan (DT) = Jumlah Aset (DT)</t>
  </si>
  <si>
    <t>=ROUND(RPTSRES!E17,2)=ROUND(DTUR!K46,2)</t>
  </si>
  <si>
    <t xml:space="preserve"> Liabilitas selain Qardh dari Dana Perusahaan (DT) = Jumlah Liabilitas (DT)</t>
  </si>
  <si>
    <t>=ROUND(RPTSRES!E18,2)=ROUND('DTUR-1'!F21,2)</t>
  </si>
  <si>
    <t>Risiko Kredit (DT) = Risiko Kredit (DT)</t>
  </si>
  <si>
    <t>=ROUND(RPTSRES!E20,2)=ROUND('RKUS-RE'!E18,2)</t>
  </si>
  <si>
    <t>Risiko Kredit (DP) = Risiko Kredit (DP)</t>
  </si>
  <si>
    <t>=ROUND(RPTSRES!F20,2)=ROUND('RKUS-RE'!F18,2)</t>
  </si>
  <si>
    <t>Risiko Likuiditas (DT) = Risiko Likuiditas (DT)</t>
  </si>
  <si>
    <t>=ROUND(RPTSRES!E21,2)=ROUND(RKLRES!P71,2)</t>
  </si>
  <si>
    <t>Risiko Likuiditas (DP) = Risiko Likuiditas (DP)</t>
  </si>
  <si>
    <t>=ROUND(RPTSRES!F21,2)=ROUND(RKLRES!J71,2)</t>
  </si>
  <si>
    <t>Risiko Pasar (DT) = Risiko Pasar (DT)</t>
  </si>
  <si>
    <t>=ROUND(RPTSRES!E22,2)=ROUND('RPSYA-R'!F19,2)</t>
  </si>
  <si>
    <t>Risiko Pasar (DP) = Risiko Pasar (DP)</t>
  </si>
  <si>
    <t>=ROUND(RPTSRES!F22,2)=ROUND('RPSYA-R'!E19,2)</t>
  </si>
  <si>
    <t>Risiko Asuransi (DT) = Risiko Asuransi (DT)</t>
  </si>
  <si>
    <t>=ROUND(RPTSRES!E23,2)=ROUND('RSAS-R'!E20,2)</t>
  </si>
  <si>
    <t>Risiko Operasional (DT) = Risiko Operasional (DT)</t>
  </si>
  <si>
    <t>=ROUND(RPTSRES!E24,2)=ROUND('RSOS-R'!E29,2)</t>
  </si>
  <si>
    <t>Risiko Operasional (DP) = Risiko Operasional (DP)</t>
  </si>
  <si>
    <t>=ROUND(RPTSRES!F24,2)=ROUND('RSOS-R'!F29,2)</t>
  </si>
  <si>
    <t>PPUSY</t>
  </si>
  <si>
    <t>Profil Perusahaan</t>
  </si>
  <si>
    <t>Nama Perusahaan</t>
  </si>
  <si>
    <t/>
  </si>
  <si>
    <t>Alamat Lengkap</t>
  </si>
  <si>
    <t>Telepon dan Fax</t>
  </si>
  <si>
    <t>E-mail</t>
  </si>
  <si>
    <t>NPWP</t>
  </si>
  <si>
    <t>No. &amp; Tanggal Izin Usaha</t>
  </si>
  <si>
    <t>Jumlah Cabang/Perwakilan</t>
  </si>
  <si>
    <t>Jumlah Tenaga Kerja</t>
  </si>
  <si>
    <t>Jumlah Tertanggung</t>
  </si>
  <si>
    <t>Auditor Eksternal</t>
  </si>
  <si>
    <t>Pengendali</t>
  </si>
  <si>
    <t>PIC Laporan Keuangan</t>
  </si>
  <si>
    <t>Penyusun Laporan</t>
  </si>
  <si>
    <t>Nama Petugas</t>
  </si>
  <si>
    <t>Divisi</t>
  </si>
  <si>
    <t>Telepon</t>
  </si>
  <si>
    <t>Fax</t>
  </si>
  <si>
    <t>Email</t>
  </si>
  <si>
    <t>Penanggung Jawab Direksi</t>
  </si>
  <si>
    <t>Nama Penanggung Jawab</t>
  </si>
  <si>
    <t>Jabatan</t>
  </si>
  <si>
    <t>PPSRESU</t>
  </si>
  <si>
    <t>Rincian Pemegang Saham</t>
  </si>
  <si>
    <t>Nomor Baris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</si>
  <si>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</si>
  <si>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</si>
  <si>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</si>
  <si>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</si>
  <si>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</si>
  <si>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</si>
  <si>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</si>
  <si>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</si>
  <si>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</si>
  <si>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</si>
  <si>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</si>
  <si>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</si>
  <si>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</si>
  <si>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</si>
  <si>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</si>
  <si>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</si>
  <si>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</si>
  <si>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</si>
  <si>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</si>
  <si>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</si>
  <si>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</si>
  <si>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</si>
  <si>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</si>
  <si>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</si>
  <si>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</si>
  <si>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</si>
  <si>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</si>
  <si>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</si>
  <si>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</si>
  <si>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</si>
  <si>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</si>
  <si>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</si>
  <si>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</si>
  <si>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</si>
  <si>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</si>
  <si>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</si>
  <si>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</si>
  <si>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</si>
  <si>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</si>
  <si>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</si>
  <si>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</si>
  <si>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</si>
  <si>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</si>
  <si>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</si>
  <si>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</si>
  <si>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</si>
  <si>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</si>
  <si>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</si>
  <si>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</si>
  <si>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</si>
  <si>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</si>
  <si>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</si>
  <si>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</si>
  <si>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</si>
  <si>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</si>
  <si>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</si>
  <si>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</si>
  <si>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</si>
  <si>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</si>
  <si>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</si>
  <si>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</si>
  <si>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</si>
  <si>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</si>
  <si>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</si>
  <si>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</si>
  <si>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</si>
  <si>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</si>
  <si>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</si>
  <si>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</si>
  <si>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</si>
  <si>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</si>
  <si>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</si>
  <si>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</si>
  <si>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</si>
  <si>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</si>
  <si>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</si>
  <si>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</si>
  <si>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</si>
  <si>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</si>
  <si>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</si>
  <si>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</si>
  <si>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</si>
  <si>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</si>
  <si>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</si>
  <si>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</si>
  <si>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</si>
  <si>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</si>
  <si>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</si>
  <si>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</si>
  <si>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</si>
  <si>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</si>
  <si>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</si>
  <si>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</si>
  <si>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</si>
  <si>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</si>
  <si>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</si>
  <si>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</si>
  <si>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</si>
  <si>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+ Baris</t>
  </si>
  <si>
    <t>100</t>
  </si>
  <si>
    <t>&lt;EOR&gt;</t>
  </si>
  <si>
    <t>PPURES</t>
  </si>
  <si>
    <t>Rincian Pihak Utama</t>
  </si>
  <si>
    <t>RPPRES-1</t>
  </si>
  <si>
    <t>Rasio Pendidikan dan Pelatihan - I</t>
  </si>
  <si>
    <t>(dalam jutaan rupiah)</t>
  </si>
  <si>
    <t>Total</t>
  </si>
  <si>
    <t>RPPRES-2</t>
  </si>
  <si>
    <t>Rasio Pendidikan dan Pelatihan - II</t>
  </si>
  <si>
    <t>Uraian</t>
  </si>
  <si>
    <t>Biaya Pegawai dan Pengurus</t>
  </si>
  <si>
    <t>Biaya Pendidikan dan Latihan</t>
  </si>
  <si>
    <t>a. Diklat Pegawai</t>
  </si>
  <si>
    <t>b. Diklat Direksi</t>
  </si>
  <si>
    <t>c. Diklat Komisaris</t>
  </si>
  <si>
    <t>d. Diklat Dewan Pengawas Syariah</t>
  </si>
  <si>
    <t xml:space="preserve">Total Biaya Diklat </t>
  </si>
  <si>
    <t>Rasio Biaya Diklat dan Biaya Pegawai dan Pengurus</t>
  </si>
  <si>
    <t>Laporan Posisi Keuangan</t>
  </si>
  <si>
    <t>URAIAN</t>
  </si>
  <si>
    <t>ASET</t>
  </si>
  <si>
    <t>Investasi</t>
  </si>
  <si>
    <t xml:space="preserve">Deposito </t>
  </si>
  <si>
    <t>Sertifikat Deposito</t>
  </si>
  <si>
    <t>Saham Syariah</t>
  </si>
  <si>
    <t>Sukuk atau Obligasi Syariah</t>
  </si>
  <si>
    <t>MTN Syariah</t>
  </si>
  <si>
    <t>Surat Berharga Syariah Negara</t>
  </si>
  <si>
    <t>Surat Berharga Syariah yang Diterbitkan oleh  Bank Indonesia</t>
  </si>
  <si>
    <t>Surat Berharga Syariah yang Diterbitkan oleh Negara Selain Negara Republik Indonesia</t>
  </si>
  <si>
    <t>Surat Berharga Syariah yang Diterbitkan oleh Lembaga Multinasional</t>
  </si>
  <si>
    <t>Reksa Dana Syariah</t>
  </si>
  <si>
    <t>Efek Beragun Aset Syariah</t>
  </si>
  <si>
    <t>Dana Investasi Real Estate Syariah</t>
  </si>
  <si>
    <t>REPO</t>
  </si>
  <si>
    <t>Pembiayaan Melalui Kerjasama dengan Pihak Lain.</t>
  </si>
  <si>
    <t>Pembiayaan Syariah Dengan Hak Tanggungan</t>
  </si>
  <si>
    <t>Penyertaan Langsung</t>
  </si>
  <si>
    <t>Properti Investasi</t>
  </si>
  <si>
    <t>Emas  murni</t>
  </si>
  <si>
    <t>Sukuk Daerah</t>
  </si>
  <si>
    <t>Dana Investasi Infrastruktur berbentuk kontrak investasi kolektif</t>
  </si>
  <si>
    <t>Investasi lain</t>
  </si>
  <si>
    <t>Bukan investasi</t>
  </si>
  <si>
    <t>Kas dan Bank</t>
  </si>
  <si>
    <t xml:space="preserve">Tagihan </t>
  </si>
  <si>
    <t>Aset Reasuransi</t>
  </si>
  <si>
    <t>Biaya akuisisi yang ditangguhkan</t>
  </si>
  <si>
    <t>Property Non Investasi</t>
  </si>
  <si>
    <t>Aset Lain</t>
  </si>
  <si>
    <t>LIABILITAS DAN EKUITAS</t>
  </si>
  <si>
    <t>Liabilitas</t>
  </si>
  <si>
    <t>Utang klaim atau manfaat investasi</t>
  </si>
  <si>
    <t>Biaya yang Masih Harus Dibayar</t>
  </si>
  <si>
    <t>Utang lain</t>
  </si>
  <si>
    <t>Penyisihan Teknis</t>
  </si>
  <si>
    <t>Penyisihan ujroh</t>
  </si>
  <si>
    <t>Penyisihan PAYDI yang memberikan garansi pokok investasi</t>
  </si>
  <si>
    <t>Penyisihan kontribusi</t>
  </si>
  <si>
    <t>Penyisihan atas kontribusi yang belum merupakan pendapatan</t>
  </si>
  <si>
    <t>Penyisihan  klaim</t>
  </si>
  <si>
    <t>Penyisihan atas risiko bencana</t>
  </si>
  <si>
    <t>Qardh</t>
  </si>
  <si>
    <t>Ekuitas Dana</t>
  </si>
  <si>
    <t xml:space="preserve">Modal Disetor </t>
  </si>
  <si>
    <t>Agio/Disagio Saham</t>
  </si>
  <si>
    <t>Akumulasi Dana</t>
  </si>
  <si>
    <t>Profit Equilization Reserve</t>
  </si>
  <si>
    <t>Saldo Laba</t>
  </si>
  <si>
    <t>Komponen Ekuitas Lainnya</t>
  </si>
  <si>
    <t>Selisih Saldo SAK dan Saldo SAP</t>
  </si>
  <si>
    <t>Kekayaan Yang Tidak Diperkenankan</t>
  </si>
  <si>
    <t>LKKREU</t>
  </si>
  <si>
    <t>Laporan Kinerja Keuangan</t>
  </si>
  <si>
    <t>PENDAPATAN</t>
  </si>
  <si>
    <t>PENDAPATAN INVESTASI DAN UJROH PENGELOLAAN INVESTASI</t>
  </si>
  <si>
    <t>Hasil Investasi</t>
  </si>
  <si>
    <t>Hasil Investasi Yang Dibagikan ke Dana Perusahaan</t>
  </si>
  <si>
    <t>Jumlah Hasil Investasi</t>
  </si>
  <si>
    <t>Jumlah Ujroh Pengelolaan Investasi</t>
  </si>
  <si>
    <t>Jumlah Pendapatan Hasil Investasi dan Ujroh Pengelolaan Investasi</t>
  </si>
  <si>
    <t>PENDAPATAN UNDERWRITING</t>
  </si>
  <si>
    <t>Kontribusi Bruto/Ujroh Diterima/Alokasi Investasi</t>
  </si>
  <si>
    <t>a. Alokasi Kontribusi Langsung: Tabarru/Ujroh/Investasi</t>
  </si>
  <si>
    <t>b. Alokasi Kontribusi Tidak Langsung: Tabarru/Ujroh</t>
  </si>
  <si>
    <t>Jumlah Kontribusi Bruto/Ujroh Diterima/Alokasi Untuk Investasi</t>
  </si>
  <si>
    <t>Kontribusi Reasuransi/Retrosesi</t>
  </si>
  <si>
    <t xml:space="preserve">Kontribusi Neto </t>
  </si>
  <si>
    <t>Penurunan (Kenaikan) Penyisihan Kontribusi dan PAKYBMP (Net Setelah Aset Reasuransi)</t>
  </si>
  <si>
    <t>a. Penurunan (kenaikan) Penyisihan Kontribusi</t>
  </si>
  <si>
    <t xml:space="preserve">b. Penurunan (kenaikan) PAKYBMP </t>
  </si>
  <si>
    <t>c. Penurunan (Kenaikan) Penyisihan atas Risiko Bencana</t>
  </si>
  <si>
    <t xml:space="preserve">Jumlah Pendapatan Kontribusi Neto </t>
  </si>
  <si>
    <t xml:space="preserve">PENDAPATAN UNDERWRITING </t>
  </si>
  <si>
    <t>BEBAN</t>
  </si>
  <si>
    <t>BEBAN UNDERWRITING</t>
  </si>
  <si>
    <t>Beban Klaim</t>
  </si>
  <si>
    <t>a. Klaim Bruto</t>
  </si>
  <si>
    <t>b. Klaim recovery</t>
  </si>
  <si>
    <t xml:space="preserve">c. Kenaikan (Penurunan) Penyisihan Klaim </t>
  </si>
  <si>
    <t>d. Penarikan Dana Investasi Peserta yang telah jatuh tempo</t>
  </si>
  <si>
    <t>e. Penarikan/Penebusan Dana Investasi Peserta (belum jt tempo)</t>
  </si>
  <si>
    <t xml:space="preserve">Jumlah Beban Klaim Netto </t>
  </si>
  <si>
    <t>Beban Adjuster</t>
  </si>
  <si>
    <t xml:space="preserve">JUMLAH BEBAN UNDERWRITING </t>
  </si>
  <si>
    <t xml:space="preserve">JUMLAH SURPLUS (DEFISIT) UNDERWRITING </t>
  </si>
  <si>
    <t>a. Surplus underwriting untuk dana Perusahaan</t>
  </si>
  <si>
    <t>b. Surplus underwriting untuk Peserta</t>
  </si>
  <si>
    <t>BEBAN USAHA:</t>
  </si>
  <si>
    <t>a. Beban Pemasaran</t>
  </si>
  <si>
    <t>b. Beban Akuisisi</t>
  </si>
  <si>
    <t>c. Beban Umum dan Administrasi:</t>
  </si>
  <si>
    <t>- Beban Pegawai dan Pengurus</t>
  </si>
  <si>
    <t>- Beban Pendidikan dan Pelatihan</t>
  </si>
  <si>
    <t>- Beban Umum dan Administrasi Lainnya</t>
  </si>
  <si>
    <t>Kenaikan (penurunan) Penyisihan Ujroh</t>
  </si>
  <si>
    <t>JUMLAH BEBAN USAHA</t>
  </si>
  <si>
    <t xml:space="preserve">LABA (RUGI) USAHA ASURANSI </t>
  </si>
  <si>
    <t>Pendapatan Lain</t>
  </si>
  <si>
    <t>Beban Lain</t>
  </si>
  <si>
    <t xml:space="preserve">LABA (RUGI) SEBELUM PAJAK </t>
  </si>
  <si>
    <t>Pajak Penghasilan</t>
  </si>
  <si>
    <t xml:space="preserve">LABA SETELAH PAJAK </t>
  </si>
  <si>
    <t xml:space="preserve">PENDAPATAN KOMPREHENSIF LAIN </t>
  </si>
  <si>
    <t>JUMLAH KINERJA SELURUH DANA</t>
  </si>
  <si>
    <t>LAK-R</t>
  </si>
  <si>
    <t>Laporan Arus Kas</t>
  </si>
  <si>
    <t xml:space="preserve">Uraian </t>
  </si>
  <si>
    <t>SALDO AWAL</t>
  </si>
  <si>
    <t>PENINGKATAN (PENURUNAN SALDO KAS)</t>
  </si>
  <si>
    <t>SALDO AKHIR KAS</t>
  </si>
  <si>
    <t>ARUS KAS DARI AKTIFITAS OPERASI</t>
  </si>
  <si>
    <t>a. Arus Kas Masuk</t>
  </si>
  <si>
    <t>Kontribusi Para Peserta</t>
  </si>
  <si>
    <t>Ujroh yang diterima</t>
  </si>
  <si>
    <t>Penerimaan Alokasi Surplus Dana Tabarru'</t>
  </si>
  <si>
    <t>Klaim Reasuransi Diterima</t>
  </si>
  <si>
    <t>Penerimaan Distribuasi Surplus Underwriting Reasuransi</t>
  </si>
  <si>
    <t>Lain - Lain</t>
  </si>
  <si>
    <t>b. Arus Kas Keluar</t>
  </si>
  <si>
    <t>Klaim Dibayar</t>
  </si>
  <si>
    <t>Penarikan Dana Investasi Peserta yang telah jatuh tempo</t>
  </si>
  <si>
    <t>Penarikan/Penebusan Dana Investasi Peserta belum jatuh tempo</t>
  </si>
  <si>
    <t>Pembayaran Distribusi Surplus UW ke Perusahaan</t>
  </si>
  <si>
    <t>Pembayaran Distribusi Surplus UW ke Peserta/Pemegang Polis</t>
  </si>
  <si>
    <t>Beban Akuisisi</t>
  </si>
  <si>
    <t>Beban Pemasaran</t>
  </si>
  <si>
    <t>Pembayaran Ujroh Reasuransi</t>
  </si>
  <si>
    <t>Pembayaran Ujroh Asuransi</t>
  </si>
  <si>
    <t>Kontribusi  Reasuransi Dibayar</t>
  </si>
  <si>
    <t>Pembayaran Sewa</t>
  </si>
  <si>
    <t>Pembayaran Zakat</t>
  </si>
  <si>
    <t>Pembayaran Pajak</t>
  </si>
  <si>
    <t>Lain-lain</t>
  </si>
  <si>
    <t>ARUS KAS DARI AKTIFITAS INVESTASI</t>
  </si>
  <si>
    <t xml:space="preserve">Penerimaan Hasil Investasi </t>
  </si>
  <si>
    <t>Penerimaan Bagi Hasil Investasi Dana Tabaru'</t>
  </si>
  <si>
    <t>Penerimaan Bagi Hasil Investasi Dana Investasi Peserta</t>
  </si>
  <si>
    <t>Pencairan Investasi</t>
  </si>
  <si>
    <t>Penjualan Aktiva Tetap</t>
  </si>
  <si>
    <t xml:space="preserve">Penempatan Investasi </t>
  </si>
  <si>
    <t>Pembayaran ujroh/fee kepada Perusahaan</t>
  </si>
  <si>
    <t>Pembelian Aktiva Tetap</t>
  </si>
  <si>
    <t>ARUS KAS DARI AKTIFITAS PENDANAAN</t>
  </si>
  <si>
    <t>Setoran Modal/Modal Kerja</t>
  </si>
  <si>
    <t>Pinjaman Subordinasi</t>
  </si>
  <si>
    <t xml:space="preserve">Penerimaan Qardh </t>
  </si>
  <si>
    <t>Pembayaran Pinjaman Subordinasi</t>
  </si>
  <si>
    <t>Pembayaran Dividen</t>
  </si>
  <si>
    <t xml:space="preserve">Pembayaran Qardh </t>
  </si>
  <si>
    <t>LAPORAN PERUBAHAN DANA</t>
  </si>
  <si>
    <t>I. Saldo Dana Awal</t>
  </si>
  <si>
    <t>II. Penambahan</t>
  </si>
  <si>
    <t>Modal Disetor</t>
  </si>
  <si>
    <t>Laba komprehensif periode berjalan</t>
  </si>
  <si>
    <t>Kenaikan akumulasi dana tabarru' / dana investasi peserta</t>
  </si>
  <si>
    <t>Penambahan lainnya</t>
  </si>
  <si>
    <t>III. Pengurangan</t>
  </si>
  <si>
    <t>Rugi komprehensif periode berjalan</t>
  </si>
  <si>
    <t>Penurunan akumulasi dana tabarru' / dana investasi peserta</t>
  </si>
  <si>
    <t>Pembayaran Deviden</t>
  </si>
  <si>
    <t>Pengurangan lainnya</t>
  </si>
  <si>
    <t>IV. Saldo Akhir Dana</t>
  </si>
  <si>
    <t>ANALISIS DANA PERUSAHAAN</t>
  </si>
  <si>
    <t>PERHITUNGAN ASET DAN LIABILITAS DANA PERUSAHAAN</t>
  </si>
  <si>
    <t>I. Investasi</t>
  </si>
  <si>
    <t>Deposito</t>
  </si>
  <si>
    <t>Surat Berharga Syariah Negara RI</t>
  </si>
  <si>
    <t>Surat Berharga Syariah Bank Indonesia</t>
  </si>
  <si>
    <t>Surat Berharga Syariah Negara Selain RI</t>
  </si>
  <si>
    <t>Surat Berharga Syariah Lembaga Multinasional</t>
  </si>
  <si>
    <t>Dana Investasi Real Estat Syariah</t>
  </si>
  <si>
    <t>Pembiayaan Melalui Kerjasama Dengan Pihak Lain (Executing)</t>
  </si>
  <si>
    <t>Emas  Murni</t>
  </si>
  <si>
    <t xml:space="preserve">Dana Investasi Infrastruktur berbentuk kontrak </t>
  </si>
  <si>
    <t>Investasi Lain</t>
  </si>
  <si>
    <t>Jumlah Investasi</t>
  </si>
  <si>
    <t>II. Bukan Investasi</t>
  </si>
  <si>
    <t>Tagihan Ujrah Penutupan Tidak Langsung</t>
  </si>
  <si>
    <t>Tagihan Hasil Investasi</t>
  </si>
  <si>
    <t>Tagihan Investasi</t>
  </si>
  <si>
    <t>Biaya Akuisisi Ditangguhkan</t>
  </si>
  <si>
    <t>Property Bukan Investasi</t>
  </si>
  <si>
    <t>Jumlah Bukan Investasi</t>
  </si>
  <si>
    <t>JUMLAH KEKAYAAN (I+II)</t>
  </si>
  <si>
    <t>DP-R-1</t>
  </si>
  <si>
    <t>PERHITUNGAN LIABILITAS DANA PERUSAHAAN</t>
  </si>
  <si>
    <t>I. Utang</t>
  </si>
  <si>
    <t>II. Penyisihan Ujrah</t>
  </si>
  <si>
    <t>III. Penyisihan untuk Penjaminan Atas Pokok Investasi PAYDI</t>
  </si>
  <si>
    <t>JUMLAH KEWAJIBAN (I+II+III)</t>
  </si>
  <si>
    <t>ANALISIS DANA TABARRU</t>
  </si>
  <si>
    <t>PERHITUNGAN ASET DAN LIABILITAS DANA TABARRU'</t>
  </si>
  <si>
    <t>Tagihan Kontribusi Penutupan Tidak Langsung</t>
  </si>
  <si>
    <t>Tagihan Kontribusi Koasuransi</t>
  </si>
  <si>
    <t>Tagihan Recovery Klaim Reasuransi</t>
  </si>
  <si>
    <t>DTUR-1</t>
  </si>
  <si>
    <t>PERHITUNGAN LIABILITAS DANA TABARRU'</t>
  </si>
  <si>
    <t>Utang</t>
  </si>
  <si>
    <t>Penyisihan Kontribusi</t>
  </si>
  <si>
    <t>Penyisihan Kontribusi Yang Belum Merupakan Pendapatan (PKYBMP)</t>
  </si>
  <si>
    <t>Penyisihan Klaim</t>
  </si>
  <si>
    <t>Penyisihan atas Risiko Bencana (Catastrophic Risks)</t>
  </si>
  <si>
    <t>JUMLAH LIABILITAS</t>
  </si>
  <si>
    <t>RASIO KEUANGAN</t>
  </si>
  <si>
    <t>PENCAPAIAN TINGKAT SOLVABILITAS</t>
  </si>
  <si>
    <t>Tingkat Solvabilitas</t>
  </si>
  <si>
    <t>A. Aset yang diperkenankan (AYD)</t>
  </si>
  <si>
    <t>B. Liabilitas selain Qardh dari Dana Perusahaan</t>
  </si>
  <si>
    <t>DTMBR/MMBR</t>
  </si>
  <si>
    <t>A. Risiko Kredit</t>
  </si>
  <si>
    <t>B. Risiko Likuiditas</t>
  </si>
  <si>
    <t>C. Risiko Pasar</t>
  </si>
  <si>
    <t>D. Risiko Asuransi</t>
  </si>
  <si>
    <t>E. Risiko Operasional</t>
  </si>
  <si>
    <t>F. MMBR atas PAYDI Digaransi</t>
  </si>
  <si>
    <t>1. Risiko PAYDI Digaransi</t>
  </si>
  <si>
    <t>a. Risiko Kredit</t>
  </si>
  <si>
    <t>b. Risiko Likuiditas</t>
  </si>
  <si>
    <t>c. Risiko Pasar</t>
  </si>
  <si>
    <t>2. Aset PAYDI Digaransi</t>
  </si>
  <si>
    <t>3. Liabilitas PAYDI Digaransi</t>
  </si>
  <si>
    <t>Rasio Tingkat Solvabilitas sebelum memperhitungkan Aset yang Tersedia untuk Qardh (dalam %)</t>
  </si>
  <si>
    <t>Rasio Target Tingkat Solvabilitas Internal (tahunan) (persentase sesuai POJK 72)</t>
  </si>
  <si>
    <t>Rasio Tingkat Solvabilitas dengan DTMBR/MMBR yang Dipersyaratkan Peraturan (persentase sesuai POJK 72)</t>
  </si>
  <si>
    <t>Aset yang Tersedia Untuk Qardh yang Diperhitungkan sebagai Penambah AYD Dana Tabarru</t>
  </si>
  <si>
    <t xml:space="preserve">A. Kekurangan (Kelebihan) tingkat solvabilitas dari target internal </t>
  </si>
  <si>
    <t>B. Ketidakcukupan investasi, kas dan bank</t>
  </si>
  <si>
    <t>Rasio Tingkat Solvabilitas Dana Tabarru' dan Dana Tanahud</t>
  </si>
  <si>
    <t>RIKSTSRU</t>
  </si>
  <si>
    <t xml:space="preserve">RASIO KEUANGAN </t>
  </si>
  <si>
    <t>SELAIN TINGKAT SOLVABILITAS</t>
  </si>
  <si>
    <t>Rasio Likuiditas</t>
  </si>
  <si>
    <t>A. Kekayaan lancar</t>
  </si>
  <si>
    <t>B. Kewajiban lancar</t>
  </si>
  <si>
    <t>C. Rasio (a:b)</t>
  </si>
  <si>
    <t>Rasio perimbangan investasi dengan liabilitas</t>
  </si>
  <si>
    <t>A. Investasi, kas dan bank</t>
  </si>
  <si>
    <t>B. Penyisihan teknis</t>
  </si>
  <si>
    <t>C. Utang klaim retensi sendiri</t>
  </si>
  <si>
    <t>D. Rasio [a:(b+c)]</t>
  </si>
  <si>
    <t>Rasio Pendapatan investasi neto</t>
  </si>
  <si>
    <t>A. Pendapatan investasi netto</t>
  </si>
  <si>
    <t>B. Rata-rata investasi</t>
  </si>
  <si>
    <t>Rasio beban klaim</t>
  </si>
  <si>
    <t>A. Beban klaim netto</t>
  </si>
  <si>
    <t>B. Kontribusi netto</t>
  </si>
  <si>
    <t>Rasio perubahan dana</t>
  </si>
  <si>
    <t>A. Dana tahun/triwulan/bulan berjalan</t>
  </si>
  <si>
    <t>B. Dana tahun/triwulan/bulan lalu</t>
  </si>
  <si>
    <t>C. Perubahan dana (a-b)</t>
  </si>
  <si>
    <t>D. Rasio (c:b)</t>
  </si>
  <si>
    <t>Rasio Aset Unit Syariah</t>
  </si>
  <si>
    <t>A. Aset Dana Tabarru</t>
  </si>
  <si>
    <t>B. Aset Dana Investasi Peserta</t>
  </si>
  <si>
    <t>C. Aset Dana Asuransi Perusahaan (Konvensional)</t>
  </si>
  <si>
    <t>D. Rasio (a+b) : (a+b+c)</t>
  </si>
  <si>
    <t>Penghitungan Qardh yang Diperlukan Dana Tabarru</t>
  </si>
  <si>
    <t>A. Jumlah Kewajiban selain Qardh</t>
  </si>
  <si>
    <t>B. Jumlah Aset</t>
  </si>
  <si>
    <t>Jumlah Qardh yang Diperlukan (a-b)</t>
  </si>
  <si>
    <t>RKUS-RE</t>
  </si>
  <si>
    <t>MODAL MINIMUM BERBASIS RISIKO DAN DANA TABARRU' MINIMUM BERBASIS RISIKO</t>
  </si>
  <si>
    <t>RISIKO KREDIT</t>
  </si>
  <si>
    <t>Risiko Kredit (a)</t>
  </si>
  <si>
    <t>Risiko Kredit (b)</t>
  </si>
  <si>
    <t>Total Risiko Kredit</t>
  </si>
  <si>
    <t>RKRKRES</t>
  </si>
  <si>
    <t>RISIKO KREDIT - RISIKO KEGAGALAN ATAU KETIDAKMAMPUAN DEBITUR ATAU PIHAK LAIN</t>
  </si>
  <si>
    <t>Deposito Berjangka dan Sertifikat Deposito</t>
  </si>
  <si>
    <t>Kategori Khusus (sampai dengan 2 milyar per bank)</t>
  </si>
  <si>
    <t>Kategori Lain, sesuai peringkat Bank:</t>
  </si>
  <si>
    <t>a. Peringkat klaster 1</t>
  </si>
  <si>
    <t>b. Peringkat klaster 2</t>
  </si>
  <si>
    <t>c. Peringkat klaster 3</t>
  </si>
  <si>
    <t>d. Peringkat klaster 4</t>
  </si>
  <si>
    <t>e. Peringkat klaster 5</t>
  </si>
  <si>
    <t>Sukuk / Obligasi Korporasi Syariah</t>
  </si>
  <si>
    <t>Surat Berharga Yang Diterbitkan oleh Bank Indonesia</t>
  </si>
  <si>
    <t xml:space="preserve">Surat Berharga Yang Diterbitkan oleh Negara selain Negara RI </t>
  </si>
  <si>
    <t>Surat Berharga yang diterbitkan oleh Lembaga Multinasional</t>
  </si>
  <si>
    <t>Pembiayaan Melalui Kerjasama dengan Pihak Lain*</t>
  </si>
  <si>
    <t>a.Sangat sehat</t>
  </si>
  <si>
    <t>b.Sehat</t>
  </si>
  <si>
    <t>c.Kurang sehat</t>
  </si>
  <si>
    <t>d.Tidak sehat</t>
  </si>
  <si>
    <t>Pinjaman yang Dijamin dengan Hak Tanggungan</t>
  </si>
  <si>
    <t>Properti residensial</t>
  </si>
  <si>
    <t>a. LTV &lt; 65%</t>
  </si>
  <si>
    <t>b. 65% &lt; LTV &lt; 75%</t>
  </si>
  <si>
    <t>Properti komersial lainnya</t>
  </si>
  <si>
    <t>Properti yang tidak digunakan</t>
  </si>
  <si>
    <t>Bukan Investasi</t>
  </si>
  <si>
    <t>Tagihan Kontribusi Penutupan Langsung</t>
  </si>
  <si>
    <t>a. aset yang bersumber dari nilai estimasi pemulihan klaim atas porsi pertanggungan ulang (dicharge dalam Risiko Kredit b)</t>
  </si>
  <si>
    <t>b. aset yang bersumber dari perjanjian kontrak jangka panjang program reasuransi dukungan modal (capital oriented reinsurance)</t>
  </si>
  <si>
    <t>Tagihan Klaim Koasuransi</t>
  </si>
  <si>
    <t>Dalam Negeri</t>
  </si>
  <si>
    <t>Luar Negeri:</t>
  </si>
  <si>
    <t>Tagihan Kontribusi Reasuransi</t>
  </si>
  <si>
    <t>Luar Negeri</t>
  </si>
  <si>
    <t>Peringkat Klaster 1</t>
  </si>
  <si>
    <t>Peringkat Klaster 2</t>
  </si>
  <si>
    <t>Peringkat Klaster 3</t>
  </si>
  <si>
    <t>Peringkat Klaster 4</t>
  </si>
  <si>
    <t>Peringkat Klaster 5</t>
  </si>
  <si>
    <t xml:space="preserve">Tagihan Klaim Reasuransi </t>
  </si>
  <si>
    <t>a. Investasi yang belum diterima pembayarannya pada tanggal jatuh tempo</t>
  </si>
  <si>
    <t>b. Investasi yang gagal bayar pada tanggal jatuh tempo/saat dicairkan</t>
  </si>
  <si>
    <t>RKRKRES1</t>
  </si>
  <si>
    <t>DANA TABARRU MINIMUM BERBASIS RISIKO</t>
  </si>
  <si>
    <t>RISIKO KREDIT - KEGAGALAN/KETIDAKMAMPUAN PENANGGUNG ULANG</t>
  </si>
  <si>
    <t>RKLRES</t>
  </si>
  <si>
    <t>MODAL MINIMUM BERBASIS RISIKO DAN DANA TABARRU MINIMUM BERBASIS RISIKO</t>
  </si>
  <si>
    <t>RISIKO LIKUIDITAS</t>
  </si>
  <si>
    <t>Aset</t>
  </si>
  <si>
    <t xml:space="preserve">Deposito Berjangka </t>
  </si>
  <si>
    <t>Surat Berharga yang Diterbitkan oleh Bank Indonesia</t>
  </si>
  <si>
    <t xml:space="preserve">Surat Berharga yang Diterbitkan oleh Negara Selain Negara RI </t>
  </si>
  <si>
    <t>Surat Berharga yang Diterbitkan oleh Lembaga Multinasional</t>
  </si>
  <si>
    <t>Pembiayaan Melalui Kerjasama dengan Pihak Lain (Executing)</t>
  </si>
  <si>
    <t>Pembiayaan Syariah dengan Hak Tanggungan</t>
  </si>
  <si>
    <t>Property Investasi</t>
  </si>
  <si>
    <t>Emas Murni</t>
  </si>
  <si>
    <t>Tagihan Kontribusi/ujroh Penutupan Langsung</t>
  </si>
  <si>
    <t>Tagihan Kontribusi/ujroh Reasuransi</t>
  </si>
  <si>
    <t>Biaya Akuisisi yang Ditangguhkan</t>
  </si>
  <si>
    <t>Aset Tetap Lain</t>
  </si>
  <si>
    <t>Liabilitas dan Ekuitas</t>
  </si>
  <si>
    <t>Utang Klaim atau manfaat investasi</t>
  </si>
  <si>
    <t>Utang Koasuransi</t>
  </si>
  <si>
    <t>Utang Reasuransi</t>
  </si>
  <si>
    <t>Utang Ujroh</t>
  </si>
  <si>
    <t>Utang Pajak</t>
  </si>
  <si>
    <t>Utang Lain</t>
  </si>
  <si>
    <t>Penyisihan kontribusi yang belum merupakan pendapatan</t>
  </si>
  <si>
    <t>Penyisihan klaim</t>
  </si>
  <si>
    <t>Akumulasi Dana Investasi Peserta</t>
  </si>
  <si>
    <t>SELISIH LIABILITAS DAN ASET</t>
  </si>
  <si>
    <t>DEVIASI (4% X (Maks (Li - AYDi), 0))</t>
  </si>
  <si>
    <t>RPSYA-R</t>
  </si>
  <si>
    <t>RISIKO PASAR</t>
  </si>
  <si>
    <t>Risiko Pasar (A)</t>
  </si>
  <si>
    <t>Risiko Pasar (B)</t>
  </si>
  <si>
    <t>Risiko Pasar (C)</t>
  </si>
  <si>
    <t>Total Risiko Pasar</t>
  </si>
  <si>
    <t>RPARES</t>
  </si>
  <si>
    <t>RISIKO PASAR - PERUBAHAN HARGA PASAR</t>
  </si>
  <si>
    <t>Termasuk IDX30 atau JII</t>
  </si>
  <si>
    <t>Saham diperdagangkan di bursa Indonesia</t>
  </si>
  <si>
    <t>Saham diperdagangkan di bursa luar negeri</t>
  </si>
  <si>
    <t xml:space="preserve">Saham penyusun indeks utama bursa utama negara Asia Pasifik dan Eropa anggota World Federation of Exchanges </t>
  </si>
  <si>
    <t>Saham Lainnya</t>
  </si>
  <si>
    <t>Sepenuhnya berupa surat utang pemerintah</t>
  </si>
  <si>
    <t>Sepenuhnya berupa surat utang swasta dan atau surat  berharga pasar uang (SBPU)</t>
  </si>
  <si>
    <t>Sepenuhnya berupa surat berharga ekuitas</t>
  </si>
  <si>
    <t>Campuran*)</t>
  </si>
  <si>
    <t>Dana Perusahaan</t>
  </si>
  <si>
    <t>Dana Tabarru'</t>
  </si>
  <si>
    <t>PAYDI (digaransi)</t>
  </si>
  <si>
    <t>Dana Investasi Real Estat</t>
  </si>
  <si>
    <t>Dalam Pengawasan OJK</t>
  </si>
  <si>
    <t>Tidak Dalam Pengawasan OJK</t>
  </si>
  <si>
    <t>Hasil Investasi 4% atau lebih</t>
  </si>
  <si>
    <t>Hasil Investasi 2% - 4%</t>
  </si>
  <si>
    <t>Hasil Investasi kurang dari 2%</t>
  </si>
  <si>
    <t>Emas murni</t>
  </si>
  <si>
    <t>BUKAN INVESTASI</t>
  </si>
  <si>
    <t>TOTAL</t>
  </si>
  <si>
    <t>RPSB-R</t>
  </si>
  <si>
    <t>RISIKO PASAR - PERUBAHAN NILAI MATA UANG ASING</t>
  </si>
  <si>
    <t>Aset Yang Diperkenankan</t>
  </si>
  <si>
    <t>Tagihan Klaim Reasuransi</t>
  </si>
  <si>
    <t>Jumlah Aset yang Diperkenankan</t>
  </si>
  <si>
    <t>Utang klaim</t>
  </si>
  <si>
    <t>Penyisihan penjaminan pokok investasi</t>
  </si>
  <si>
    <t>Jumlah Liabilitas</t>
  </si>
  <si>
    <t>Kurs</t>
  </si>
  <si>
    <t>Jumlah Aset Yang Diperkenankan Dalam Rupiah</t>
  </si>
  <si>
    <t>Jumlah Liabilitas Dalam Rupiah</t>
  </si>
  <si>
    <t>Selisih Aset Yang Diperkenankan atas Liabilitas</t>
  </si>
  <si>
    <t>Faktor</t>
  </si>
  <si>
    <t>Jumlah Deviasi</t>
  </si>
  <si>
    <t>RPSC-R</t>
  </si>
  <si>
    <t>RISIKO PASAR - RISIKO PERUBAHAN TINGKAT HASIL INVESTASI</t>
  </si>
  <si>
    <t>PKrf</t>
  </si>
  <si>
    <t>PKo</t>
  </si>
  <si>
    <t>Max((PKrf-PKo),0)</t>
  </si>
  <si>
    <t>PUrf</t>
  </si>
  <si>
    <t>PUo</t>
  </si>
  <si>
    <t>Max((PUrf-PUo),0)</t>
  </si>
  <si>
    <t>fPTB</t>
  </si>
  <si>
    <t>PTPI</t>
  </si>
  <si>
    <t>RSAS-R</t>
  </si>
  <si>
    <t xml:space="preserve"> MODAL MINIMUM BERBASIS RISIKO DAN DANA TABARRU MINIMUM BERBASIS RISIKO</t>
  </si>
  <si>
    <t>RISIKO ASURANSI</t>
  </si>
  <si>
    <t>I. Total max ((PK* - PK), 0)</t>
  </si>
  <si>
    <t>II. Total ((PAKYBMPi - ARi)fpki</t>
  </si>
  <si>
    <t>III. Total ((PKli - ARi)fpkli)</t>
  </si>
  <si>
    <t>IV. Total ((PRBi - ARi)fpbi)</t>
  </si>
  <si>
    <t>Total Deviasi</t>
  </si>
  <si>
    <t>RSAS1-R</t>
  </si>
  <si>
    <t>RISIKO ASURANSI - PENYISIHAN KONTRIBUSI</t>
  </si>
  <si>
    <t>Harta Benda (Property)</t>
  </si>
  <si>
    <t>Kendaraan Bermotor (Own Damage, Third Party Liability, dan Personal Accident)</t>
  </si>
  <si>
    <t>Pengangkutan (Marine Cargo)</t>
  </si>
  <si>
    <t>Rangka Kapal (Marine Hull)</t>
  </si>
  <si>
    <t>Rangka Pesawat (Aviation Hull)</t>
  </si>
  <si>
    <t>Satelit</t>
  </si>
  <si>
    <t>Energi Onshore (Oil and Gas)</t>
  </si>
  <si>
    <t>Energi Offshore (Oil and Gas)</t>
  </si>
  <si>
    <t>Rekayasa (Engineering)</t>
  </si>
  <si>
    <t>Tanggung Gugat (Liability)</t>
  </si>
  <si>
    <t>Aneka</t>
  </si>
  <si>
    <t>Kesehatan</t>
  </si>
  <si>
    <t>Kecelakaan Diri</t>
  </si>
  <si>
    <t>Jiwa*)</t>
  </si>
  <si>
    <t>RSAS2-R</t>
  </si>
  <si>
    <t>RISIKO ASURANSI - PENYISIHAN ATAS KONTRIBUSI YANG BELUM MERUPAKAN PENDAPATAN</t>
  </si>
  <si>
    <t xml:space="preserve">Total </t>
  </si>
  <si>
    <t>RSAS3-R</t>
  </si>
  <si>
    <t>RISIKO ASURANSI - PENYISIHAN KLAIM</t>
  </si>
  <si>
    <t>RSAS4-R</t>
  </si>
  <si>
    <t>RISIKO ASURANSI - PENYISIHAN ATAS RISIKO BENCANA</t>
  </si>
  <si>
    <t>RSOS-R</t>
  </si>
  <si>
    <t>RISIKO OPERASIONAL</t>
  </si>
  <si>
    <t>Risiko Operasional Perusahaan</t>
  </si>
  <si>
    <t xml:space="preserve">a. Beban Umum dan Administrasi </t>
  </si>
  <si>
    <t>b. Beban Pendidikan dan Pelatihan</t>
  </si>
  <si>
    <t>c. Risiko Operasional = (1%*(a-b))</t>
  </si>
  <si>
    <t>d. Saldo Biaya Akuisisi yang Ditangguhkan</t>
  </si>
  <si>
    <t>e. Risiko Opersional =(50%*d)</t>
  </si>
  <si>
    <t>f. Sub Total Risiko Operasional Perusahaan (c+e)</t>
  </si>
  <si>
    <t>Risiko Operasional PAYDI (ROPAYDI)</t>
  </si>
  <si>
    <t xml:space="preserve">g. Aset Dana PAYDI </t>
  </si>
  <si>
    <t>h. Sub Total Risiko Operasional PAYDI (ROPAYDI = (1‰*g))</t>
  </si>
  <si>
    <t>Risiko Operasional Dana Tabarru' (RODT)</t>
  </si>
  <si>
    <t>i. Investasi Dana Tabarru'</t>
  </si>
  <si>
    <t>j. Sub Total RODT = (1‰*i)</t>
  </si>
  <si>
    <t>Total Deviasi (f+h+j)</t>
  </si>
  <si>
    <t>RA110-R</t>
  </si>
  <si>
    <t>RINCIAN A-110. Rincian Investasi dan Property</t>
  </si>
  <si>
    <t>RA120-R</t>
  </si>
  <si>
    <t>RINCIAN A-120. Rincian Tagihan</t>
  </si>
  <si>
    <t>RA130-R</t>
  </si>
  <si>
    <t>RINCIAN A-130. Rincian Aset Lain</t>
  </si>
  <si>
    <t>RA210-RU</t>
  </si>
  <si>
    <t xml:space="preserve">RINCIAN A-210. Rincian Utang </t>
  </si>
  <si>
    <t>RA220-R</t>
  </si>
  <si>
    <t>RINCIAN A-220. PENYISIHAN UJROH, PENYISIHAN KONTRIBUSI, DAN</t>
  </si>
  <si>
    <t>PENYISIHAN ATAS KONTRIBUSI YANG BELUM MERUPAKAN PENDAPATAN</t>
  </si>
  <si>
    <t>Cabang Asuransi</t>
  </si>
  <si>
    <t>I. Penyisihan Ujroh/Kontribusi</t>
  </si>
  <si>
    <t xml:space="preserve">Kredit (Credit) </t>
  </si>
  <si>
    <t>Suretyship</t>
  </si>
  <si>
    <t>II. PKYBMP</t>
  </si>
  <si>
    <t>RA221-R</t>
  </si>
  <si>
    <t>RINCIAN A-221.</t>
  </si>
  <si>
    <t>Penyisihan KLAIM</t>
  </si>
  <si>
    <t>RA222-R</t>
  </si>
  <si>
    <t>RINCIAN A-222</t>
  </si>
  <si>
    <t>Penyisihan Risiko Bencana</t>
  </si>
  <si>
    <t>RA310-R</t>
  </si>
  <si>
    <t>RINCIAN A-310</t>
  </si>
  <si>
    <t>Rincian Rekapitulasi Aset dan Liabilitas Berdasarkan Mata Uang dan Umur Jatuh Tempo</t>
  </si>
  <si>
    <t>Umur</t>
  </si>
  <si>
    <t xml:space="preserve">&lt;= 1 tahun </t>
  </si>
  <si>
    <t>1 tahun &lt; umur &lt; 5 tahun</t>
  </si>
  <si>
    <t>5 tahun = umur &lt; 10 tahun</t>
  </si>
  <si>
    <t>&gt;= 10 tahun</t>
  </si>
  <si>
    <t>RA310-1-R</t>
  </si>
  <si>
    <t>Rincian A310-1</t>
  </si>
  <si>
    <t>(dalam presentase)</t>
  </si>
  <si>
    <t>Rasio Aset Lancar Terhadap Aset Tidak lancar</t>
  </si>
  <si>
    <t>Rasio Liabilitas Lancar Terhadap Liabilitas Tidak lancar</t>
  </si>
  <si>
    <t>RB110-R</t>
  </si>
  <si>
    <t>RINCIAN B-110</t>
  </si>
  <si>
    <t>Kontribusi dan Klaim Berdasarkan Lini Usaha</t>
  </si>
  <si>
    <t>RC110-RE</t>
  </si>
  <si>
    <t>C-110. LAPORAN DANA JAMINAN</t>
  </si>
  <si>
    <t>Ringkasan Perkembangan Dana Jaminan dan Perhitungan Kecukupan Dana Jaminan</t>
  </si>
  <si>
    <t>1. Ringkasan Perkembangan Dana Jaminan</t>
  </si>
  <si>
    <t>Saldo Awal Dana Jaminan</t>
  </si>
  <si>
    <t>Penempatan Dana Jaminan Baru:</t>
  </si>
  <si>
    <t>a. Dana Jaminan Dalam Bentuk Deposito</t>
  </si>
  <si>
    <t>b. Dana Jaminan dalam Bentuk SUN/Surat Berharga Lain yang Diterbitkan Negara (SBN)</t>
  </si>
  <si>
    <t>Total Penempatan Dana Jaminan Baru (3 + 4)</t>
  </si>
  <si>
    <t>Pencairan Dana Jaminan:</t>
  </si>
  <si>
    <t>Total pencairan Dana Jaminan (7 + 8)</t>
  </si>
  <si>
    <t>Saldo Akhir Dana Jaminan (1 + 5 – 9)</t>
  </si>
  <si>
    <t>2. Perhitungan Kecukupan Dana Jaminan Tahunan</t>
  </si>
  <si>
    <t>Ekuitas minimum yang dipersyaratkan</t>
  </si>
  <si>
    <t>Jumlah Kontribusi neto*)</t>
  </si>
  <si>
    <t>Jumlah Kontribusi reasuransi*)</t>
  </si>
  <si>
    <t>Jumlah Penyisihan atas PAYDI yang digaransi</t>
  </si>
  <si>
    <t>Batas Minimum Dana Jaminan I (20% x 1)</t>
  </si>
  <si>
    <t xml:space="preserve">Batas Minimum Dana Jaminan II ((1% x 2) + (0,25% x 3 ) + (2% x 4)) </t>
  </si>
  <si>
    <t>Batas Minimum Dana Jaminan Yang Digunakan ( Nilai antara 5 dan 6 mana yang lebih besar)</t>
  </si>
  <si>
    <t>Dana Jaminan Yang Dimiliki</t>
  </si>
  <si>
    <t>Kelebihan (Kekurangan) Dana Jaminan (8 - 7)</t>
  </si>
  <si>
    <t>RD110-R</t>
  </si>
  <si>
    <t>RINCIAN D-110</t>
  </si>
  <si>
    <t>Kinerja Pemasaran Asuransi Mikro Per Jenis Produk Asuransi</t>
  </si>
  <si>
    <t>RD120_R</t>
  </si>
  <si>
    <t>RINCIAN D-120. Kinerja Saluran Pemasaran Asuransi Mikro</t>
  </si>
  <si>
    <t>Surat Pernyataan</t>
  </si>
  <si>
    <t>Laporan Keuangan</t>
  </si>
  <si>
    <t>Per</t>
  </si>
  <si>
    <t>Tahun</t>
  </si>
  <si>
    <t>"Periode"</t>
  </si>
  <si>
    <t>"Nama Perusahaan"</t>
  </si>
  <si>
    <t>Saya yang bertanda tangan dibawah ini menyatakan bahwa:</t>
  </si>
  <si>
    <t>1.</t>
  </si>
  <si>
    <t xml:space="preserve">Bertanggung jawab atas penyusunan dan penyajian laporan keuangan 
</t>
  </si>
  <si>
    <t>2.</t>
  </si>
  <si>
    <t>Semua informasi dalam laporan keuangan Perusahaan telah disajikan secara lengkap dan</t>
  </si>
  <si>
    <t>sesuai dengan kondisi yang sebenarnya;</t>
  </si>
  <si>
    <t>3.</t>
  </si>
  <si>
    <t>Laporan keuangan Perusahaan tidak mengandung informasi atau fakta material yang tidak</t>
  </si>
  <si>
    <t>benar, dan tidak menghilangkan informasi atau fakta material.</t>
  </si>
  <si>
    <t>Demikian pernyataan ini dibuat dengan sebenarnya.</t>
  </si>
  <si>
    <t>"Tempat", "Tanggal"</t>
  </si>
  <si>
    <t>"Nama Direksi"</t>
  </si>
  <si>
    <t>"Jabatan Direksi"</t>
  </si>
  <si>
    <t xml:space="preserve">Saya, </t>
  </si>
  <si>
    <t>"Nama Aktuaris"</t>
  </si>
  <si>
    <t>, nomor register</t>
  </si>
  <si>
    <t>"No Reg PAI"</t>
  </si>
  <si>
    <t>dengan ini menyatakan bahwa:</t>
  </si>
  <si>
    <t xml:space="preserve"> telah menyajikan semua data </t>
  </si>
  <si>
    <t>secara wajar</t>
  </si>
  <si>
    <t>Saya telah melakukan penelaahan terhadap laporan keuangan perusahaan berdasarkan</t>
  </si>
  <si>
    <t>berdasarkan ketentuan peraturan perundang-undangan di bidang kesehatan keuangan</t>
  </si>
  <si>
    <t>perusahaan perasuransian</t>
  </si>
  <si>
    <t>NB: Untuk laporan tahunan saja</t>
  </si>
  <si>
    <t>"Tanggal"</t>
  </si>
  <si>
    <t>Triwulan</t>
  </si>
  <si>
    <t>NB: Untuk laporan triwulanan saja</t>
  </si>
  <si>
    <t>PT ...</t>
  </si>
  <si>
    <t>Perusahaan Asuransi Jiwa Syariah</t>
  </si>
  <si>
    <t>PERNYATAAN</t>
  </si>
  <si>
    <t>DEWAN PENGAWAS SYARIAH</t>
  </si>
  <si>
    <r>
      <t xml:space="preserve">              Setelah melakukan penelitian terhadap pengelolaan kekayaan dan kewajiban Dana </t>
    </r>
    <r>
      <rPr>
        <i/>
        <sz val="13"/>
        <rFont val="Bookman Old Style"/>
        <family val="1"/>
      </rPr>
      <t>Tabarru'</t>
    </r>
    <r>
      <rPr>
        <sz val="13"/>
        <rFont val="Bookman Old Style"/>
        <family val="1"/>
      </rPr>
      <t xml:space="preserve">, Dana </t>
    </r>
    <r>
      <rPr>
        <i/>
        <sz val="13"/>
        <rFont val="Bookman Old Style"/>
        <family val="1"/>
      </rPr>
      <t>Tanahud</t>
    </r>
    <r>
      <rPr>
        <sz val="13"/>
        <rFont val="Bookman Old Style"/>
        <family val="1"/>
      </rPr>
      <t xml:space="preserve">, Dana Perusahaan, dan Dana Investasi Peserta PT ....., maka dengan ini Dewan Pengawas Syariah PT ..... menyatakan bahwa pengelolaan kekayaan dan kewajiban Dana </t>
    </r>
    <r>
      <rPr>
        <i/>
        <sz val="13"/>
        <rFont val="Bookman Old Style"/>
        <family val="1"/>
      </rPr>
      <t xml:space="preserve">Tabarru', </t>
    </r>
    <r>
      <rPr>
        <sz val="13"/>
        <rFont val="Bookman Old Style"/>
        <family val="1"/>
      </rPr>
      <t xml:space="preserve"> Dana </t>
    </r>
    <r>
      <rPr>
        <i/>
        <sz val="13"/>
        <rFont val="Bookman Old Style"/>
        <family val="1"/>
      </rPr>
      <t xml:space="preserve">Tanahud, </t>
    </r>
    <r>
      <rPr>
        <sz val="13"/>
        <rFont val="Bookman Old Style"/>
        <family val="1"/>
      </rPr>
      <t>Dana Perusahaan , dan Dana Investasi Peserta telah dilakukan sesuai prinsip Syariah Islam.</t>
    </r>
  </si>
  <si>
    <t>Jakarta, ......20xx</t>
  </si>
  <si>
    <t>Dewan  Pengawas  Syariah  PT ....</t>
  </si>
  <si>
    <t>Ketua</t>
  </si>
  <si>
    <t>Anggota</t>
  </si>
  <si>
    <t>Catatan: Untuk laporan tahunan saja</t>
  </si>
  <si>
    <t>RNCSBNAJTW</t>
  </si>
  <si>
    <t>ASURANSI JIWA</t>
  </si>
  <si>
    <t>PEMENUHAN KRITERIA BADAN HUKUM ASING YANG MENJADI PEMILIK/PEMEGANG SAHAM PERUSAHAAN</t>
  </si>
  <si>
    <t xml:space="preserve">PT Asuransi XYZ
Pemegang Saham Langsung Derajat Pertama
Untuk Periode 18 April 2018
</t>
  </si>
  <si>
    <t>Nama Pemegang Saham</t>
  </si>
  <si>
    <t>Kewarganegaraan/ Negara Tempat Badan Hukum Terdaftar</t>
  </si>
  <si>
    <t>Jenis Usaha</t>
  </si>
  <si>
    <t>Nama Otoritas Pengawas</t>
  </si>
  <si>
    <t>Anak Usaha Perasuransian</t>
  </si>
  <si>
    <t>Rating Badan Hukum</t>
  </si>
  <si>
    <t>Lembaga Pemeringkat</t>
  </si>
  <si>
    <t>Ekuitas</t>
  </si>
  <si>
    <t>Jumlah Nominal Saham (Rp)</t>
  </si>
  <si>
    <t>Persentase Kepemilikan (%)</t>
  </si>
  <si>
    <t xml:space="preserve">PT Asuransi XYZ
Pemegang Saham Tidak Langsung Derajat Kedua
Untuk Periode 18 April 2018
</t>
  </si>
  <si>
    <t>Nama Pemegang Saham Derajat Pertama</t>
  </si>
  <si>
    <t>Kewarganegaraan / Negara Tempat Badan Hukum Terdaftar</t>
  </si>
  <si>
    <t xml:space="preserve">PT Asuransi XYZ
Pemegang Saham Tidak Langsung Derajat Ketiga (dan seterusnya)
Untuk Periode 18 April 2018
</t>
  </si>
  <si>
    <t>DAFTAR PERSENTASE KEPEMILIKAN PERUSAHAAN OLEH PIHAK ASING</t>
  </si>
  <si>
    <t>Derajat Pertama</t>
  </si>
  <si>
    <t>Derajat Kedua</t>
  </si>
  <si>
    <t>Derajat Ketiga (dan seterusnya)</t>
  </si>
  <si>
    <t>PT.....</t>
  </si>
  <si>
    <t>.....1) - .....2), 3)</t>
  </si>
  <si>
    <t>+ Kolom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</si>
</sst>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-mmm\-yyyy"/>
    <numFmt numFmtId="165" formatCode="0_);\(0\)"/>
    <numFmt numFmtId="166" formatCode="_(* #,##0_);_(* \(#,##0\);_(* &quot; - &quot;??_);_(@_)"/>
    <numFmt numFmtId="167" formatCode="_(* #,##0.00_);_(* \(#,##0.00\);_(* &quot; - &quot;??_);_(@_)"/>
    <numFmt numFmtId="168" formatCode="_(* #,##0.000_);_(* \(#,##0.000\);_(* &quot; - &quot;??_);_(@_)"/>
    <numFmt numFmtId="169" formatCode="0.0%"/>
    <numFmt numFmtId="170" formatCode="dd\-mmmm"/>
  </numFmts>
  <fonts count="34">
    <font>
      <sz val="11"/>
      <name val="Calibri"/>
    </font>
    <font>
      <b/>
      <sz val="11"/>
      <name val="Calibri"/>
    </font>
    <font>
      <b/>
      <sz val="16"/>
      <name val="Calibri"/>
    </font>
    <font>
      <sz val="11"/>
      <color rgb="FFFFFFFF"/>
      <name val="Calibri"/>
    </font>
    <font>
      <sz val="12"/>
      <name val="Calibri"/>
    </font>
    <font>
      <b/>
      <sz val="13"/>
      <name val="Calibri"/>
    </font>
    <font>
      <b/>
      <sz val="20"/>
      <name val="Calibri"/>
    </font>
    <font>
      <sz val="14"/>
      <name val="Calibri"/>
    </font>
    <font>
      <sz val="10"/>
      <name val="Calibri"/>
    </font>
    <font>
      <b/>
      <sz val="11"/>
      <color rgb="FF000000"/>
      <name val="Calibri"/>
    </font>
    <font>
      <sz val="11"/>
      <color rgb="FF808080"/>
      <name val="Calibri"/>
    </font>
    <font>
      <sz val="10"/>
      <color rgb="FFFFFFFF"/>
      <name val="Calibri"/>
    </font>
    <font>
      <sz val="10"/>
      <name val="Arial"/>
      <family val="2"/>
    </font>
    <font>
      <sz val="11"/>
      <name val="Arial"/>
      <family val="2"/>
    </font>
    <font>
      <sz val="12"/>
      <name val="SWISS"/>
    </font>
    <font>
      <b/>
      <sz val="11"/>
      <name val="Arial"/>
      <family val="2"/>
    </font>
    <font>
      <sz val="11"/>
      <name val="SWISS"/>
    </font>
    <font>
      <b/>
      <i/>
      <sz val="11"/>
      <name val="Arial"/>
      <family val="2"/>
    </font>
    <font>
      <b/>
      <i/>
      <u/>
      <sz val="11"/>
      <name val="Arial"/>
      <family val="2"/>
    </font>
    <font>
      <sz val="10"/>
      <name val="MS Sans Serif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8"/>
      <name val="Bookman Old Style"/>
      <family val="1"/>
    </font>
    <font>
      <b/>
      <sz val="13"/>
      <name val="Bookman Old Style"/>
      <family val="1"/>
    </font>
    <font>
      <sz val="13"/>
      <name val="Bookman Old Style"/>
      <family val="1"/>
    </font>
    <font>
      <i/>
      <sz val="13"/>
      <name val="Bookman Old Style"/>
      <family val="1"/>
    </font>
    <font>
      <sz val="14"/>
      <name val="Bookman Old Style"/>
      <family val="1"/>
    </font>
    <font>
      <u/>
      <sz val="13"/>
      <name val="Bookman Old Style"/>
      <family val="1"/>
    </font>
    <font>
      <sz val="11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sz val="10.5"/>
      <color rgb="FF000000"/>
      <name val="Bookman Old Style"/>
      <family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FFFF00"/>
      </patternFill>
    </fill>
    <fill>
      <patternFill patternType="lightGrid">
        <fgColor rgb="FFFFFFFF"/>
        <bgColor rgb="FFD3D3D3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/>
      <top/>
      <bottom style="hair">
        <color rgb="FF80808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4" fillId="0" borderId="0"/>
    <xf numFmtId="0" fontId="16" fillId="0" borderId="0"/>
    <xf numFmtId="0" fontId="19" fillId="0" borderId="0"/>
    <xf numFmtId="0" fontId="29" fillId="0" borderId="0"/>
  </cellStyleXfs>
  <cellXfs count="134">
    <xf numFmtId="0" fontId="0" fillId="0" borderId="0" xfId="0"/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3" borderId="0" xfId="0" applyFill="1" applyAlignment="1" applyProtection="1">
      <alignment vertical="top"/>
      <protection locked="0"/>
    </xf>
    <xf numFmtId="164" fontId="0" fillId="3" borderId="0" xfId="0" applyNumberFormat="1" applyFill="1" applyAlignment="1" applyProtection="1">
      <alignment vertical="top"/>
      <protection locked="0"/>
    </xf>
    <xf numFmtId="165" fontId="1" fillId="4" borderId="1" xfId="0" applyNumberFormat="1" applyFont="1" applyFill="1" applyBorder="1" applyAlignment="1">
      <alignment vertical="top"/>
    </xf>
    <xf numFmtId="0" fontId="0" fillId="5" borderId="0" xfId="0" applyFill="1" applyAlignment="1" applyProtection="1">
      <alignment vertical="top"/>
      <protection hidden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/>
    </xf>
    <xf numFmtId="10" fontId="8" fillId="6" borderId="0" xfId="0" applyNumberFormat="1" applyFont="1" applyFill="1" applyAlignment="1">
      <alignment horizontal="right" vertical="top"/>
    </xf>
    <xf numFmtId="167" fontId="8" fillId="6" borderId="0" xfId="0" applyNumberFormat="1" applyFont="1" applyFill="1" applyAlignment="1">
      <alignment horizontal="right" vertical="top"/>
    </xf>
    <xf numFmtId="10" fontId="8" fillId="6" borderId="0" xfId="0" applyNumberFormat="1" applyFont="1" applyFill="1" applyAlignment="1" applyProtection="1">
      <alignment horizontal="right" vertical="top"/>
      <protection locked="0"/>
    </xf>
    <xf numFmtId="167" fontId="11" fillId="3" borderId="1" xfId="0" applyNumberFormat="1" applyFont="1" applyFill="1" applyBorder="1" applyAlignment="1">
      <alignment horizontal="right" vertical="top"/>
    </xf>
    <xf numFmtId="166" fontId="8" fillId="6" borderId="0" xfId="0" applyNumberFormat="1" applyFont="1" applyFill="1" applyAlignment="1">
      <alignment horizontal="right" vertical="top"/>
    </xf>
    <xf numFmtId="168" fontId="8" fillId="6" borderId="0" xfId="0" applyNumberFormat="1" applyFont="1" applyFill="1" applyAlignment="1">
      <alignment horizontal="right" vertical="top"/>
    </xf>
    <xf numFmtId="167" fontId="8" fillId="6" borderId="0" xfId="0" applyNumberFormat="1" applyFont="1" applyFill="1" applyAlignment="1" applyProtection="1">
      <alignment horizontal="right" vertical="top"/>
      <protection locked="0"/>
    </xf>
    <xf numFmtId="9" fontId="8" fillId="6" borderId="0" xfId="0" applyNumberFormat="1" applyFont="1" applyFill="1" applyAlignment="1">
      <alignment horizontal="right" vertical="top"/>
    </xf>
    <xf numFmtId="169" fontId="8" fillId="6" borderId="0" xfId="0" applyNumberFormat="1" applyFont="1" applyFill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0" fillId="4" borderId="6" xfId="0" applyFill="1" applyBorder="1" applyAlignment="1">
      <alignment horizontal="left" vertical="top" wrapText="1" indent="2"/>
    </xf>
    <xf numFmtId="0" fontId="0" fillId="4" borderId="7" xfId="0" applyFill="1" applyBorder="1" applyAlignment="1">
      <alignment vertical="top" wrapText="1" indent="2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>
      <alignment horizontal="left" vertical="top" wrapText="1" indent="1"/>
    </xf>
    <xf numFmtId="0" fontId="0" fillId="4" borderId="7" xfId="0" applyFill="1" applyBorder="1" applyAlignment="1">
      <alignment vertical="top" wrapText="1" inden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vertical="top" wrapText="1"/>
    </xf>
    <xf numFmtId="166" fontId="0" fillId="3" borderId="1" xfId="0" applyNumberFormat="1" applyFill="1" applyBorder="1" applyAlignment="1" applyProtection="1">
      <alignment vertical="top" wrapText="1"/>
      <protection locked="0"/>
    </xf>
    <xf numFmtId="0" fontId="0" fillId="4" borderId="6" xfId="0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8" xfId="0" applyFill="1" applyBorder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right" vertical="top" wrapText="1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167" fontId="0" fillId="3" borderId="1" xfId="0" applyNumberFormat="1" applyFill="1" applyBorder="1" applyAlignment="1" applyProtection="1">
      <alignment vertical="top" wrapText="1"/>
      <protection locked="0"/>
    </xf>
    <xf numFmtId="10" fontId="0" fillId="3" borderId="1" xfId="0" applyNumberFormat="1" applyFill="1" applyBorder="1" applyAlignment="1" applyProtection="1">
      <alignment vertical="top" wrapText="1"/>
      <protection locked="0"/>
    </xf>
    <xf numFmtId="164" fontId="0" fillId="3" borderId="1" xfId="0" applyNumberFormat="1" applyFill="1" applyBorder="1" applyAlignment="1" applyProtection="1">
      <alignment vertical="top" wrapText="1"/>
      <protection locked="0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>
      <alignment horizontal="left" vertical="top" wrapText="1" indent="3"/>
    </xf>
    <xf numFmtId="0" fontId="0" fillId="4" borderId="7" xfId="0" applyFill="1" applyBorder="1" applyAlignment="1">
      <alignment vertical="top" wrapText="1" indent="3"/>
    </xf>
    <xf numFmtId="168" fontId="0" fillId="3" borderId="1" xfId="0" applyNumberFormat="1" applyFill="1" applyBorder="1" applyAlignment="1" applyProtection="1">
      <alignment vertical="top" wrapText="1"/>
      <protection locked="0"/>
    </xf>
    <xf numFmtId="0" fontId="13" fillId="0" borderId="0" xfId="1" applyFont="1"/>
    <xf numFmtId="0" fontId="13" fillId="0" borderId="0" xfId="2" applyFont="1" applyAlignment="1">
      <alignment horizontal="right"/>
    </xf>
    <xf numFmtId="0" fontId="13" fillId="0" borderId="0" xfId="2" applyFont="1"/>
    <xf numFmtId="0" fontId="15" fillId="0" borderId="0" xfId="1" applyFont="1" applyAlignment="1">
      <alignment horizontal="center"/>
    </xf>
    <xf numFmtId="0" fontId="15" fillId="0" borderId="0" xfId="1" applyFont="1" applyAlignment="1"/>
    <xf numFmtId="0" fontId="15" fillId="0" borderId="0" xfId="3" applyFont="1" applyAlignment="1">
      <alignment horizontal="center"/>
    </xf>
    <xf numFmtId="170" fontId="17" fillId="7" borderId="0" xfId="3" applyNumberFormat="1" applyFont="1" applyFill="1" applyAlignment="1" applyProtection="1">
      <alignment horizontal="center"/>
      <protection locked="0"/>
    </xf>
    <xf numFmtId="0" fontId="17" fillId="7" borderId="0" xfId="3" applyFont="1" applyFill="1" applyAlignment="1" applyProtection="1">
      <alignment horizontal="center"/>
      <protection locked="0"/>
    </xf>
    <xf numFmtId="0" fontId="17" fillId="7" borderId="0" xfId="1" quotePrefix="1" applyFont="1" applyFill="1" applyAlignment="1">
      <alignment horizontal="center"/>
    </xf>
    <xf numFmtId="0" fontId="17" fillId="7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15" fillId="7" borderId="0" xfId="1" quotePrefix="1" applyFont="1" applyFill="1" applyAlignment="1"/>
    <xf numFmtId="0" fontId="13" fillId="0" borderId="0" xfId="1" applyFont="1" applyAlignment="1"/>
    <xf numFmtId="0" fontId="18" fillId="7" borderId="0" xfId="1" quotePrefix="1" applyFont="1" applyFill="1" applyAlignment="1" applyProtection="1">
      <alignment horizontal="center"/>
      <protection locked="0"/>
    </xf>
    <xf numFmtId="0" fontId="18" fillId="7" borderId="0" xfId="1" applyFont="1" applyFill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0" fontId="17" fillId="7" borderId="0" xfId="1" quotePrefix="1" applyFont="1" applyFill="1" applyAlignment="1" applyProtection="1">
      <alignment horizontal="center"/>
      <protection locked="0"/>
    </xf>
    <xf numFmtId="0" fontId="17" fillId="7" borderId="0" xfId="1" applyFont="1" applyFill="1" applyAlignment="1" applyProtection="1">
      <alignment horizontal="center"/>
      <protection locked="0"/>
    </xf>
    <xf numFmtId="0" fontId="13" fillId="0" borderId="0" xfId="1" applyFont="1" applyFill="1"/>
    <xf numFmtId="0" fontId="13" fillId="0" borderId="0" xfId="1" applyFont="1" applyAlignment="1">
      <alignment horizontal="centerContinuous"/>
    </xf>
    <xf numFmtId="0" fontId="15" fillId="7" borderId="0" xfId="1" quotePrefix="1" applyFont="1" applyFill="1" applyAlignment="1"/>
    <xf numFmtId="0" fontId="15" fillId="7" borderId="0" xfId="1" applyFont="1" applyFill="1" applyAlignment="1"/>
    <xf numFmtId="0" fontId="13" fillId="0" borderId="0" xfId="1" applyFont="1" applyAlignment="1">
      <alignment horizontal="center" wrapText="1"/>
    </xf>
    <xf numFmtId="0" fontId="13" fillId="0" borderId="0" xfId="1" applyFont="1"/>
    <xf numFmtId="0" fontId="15" fillId="7" borderId="0" xfId="1" quotePrefix="1" applyFont="1" applyFill="1" applyAlignment="1">
      <alignment horizontal="center"/>
    </xf>
    <xf numFmtId="0" fontId="15" fillId="7" borderId="0" xfId="1" applyFont="1" applyFill="1" applyAlignment="1">
      <alignment horizontal="center"/>
    </xf>
    <xf numFmtId="0" fontId="14" fillId="0" borderId="0" xfId="2"/>
    <xf numFmtId="0" fontId="20" fillId="0" borderId="0" xfId="4" applyFont="1" applyAlignment="1">
      <alignment horizontal="center"/>
    </xf>
    <xf numFmtId="0" fontId="21" fillId="0" borderId="0" xfId="4" applyFont="1"/>
    <xf numFmtId="0" fontId="22" fillId="0" borderId="0" xfId="4" applyFont="1"/>
    <xf numFmtId="0" fontId="20" fillId="0" borderId="0" xfId="4" applyFont="1" applyAlignment="1"/>
    <xf numFmtId="0" fontId="20" fillId="0" borderId="0" xfId="4" applyFont="1" applyAlignment="1">
      <alignment horizontal="left"/>
    </xf>
    <xf numFmtId="0" fontId="23" fillId="0" borderId="0" xfId="4" applyFont="1" applyAlignment="1">
      <alignment horizontal="left"/>
    </xf>
    <xf numFmtId="0" fontId="24" fillId="0" borderId="0" xfId="4" applyFont="1" applyAlignment="1">
      <alignment horizontal="center"/>
    </xf>
    <xf numFmtId="0" fontId="24" fillId="0" borderId="0" xfId="4" applyFont="1"/>
    <xf numFmtId="0" fontId="25" fillId="0" borderId="0" xfId="4" applyFont="1"/>
    <xf numFmtId="0" fontId="25" fillId="0" borderId="0" xfId="4" applyFont="1" applyAlignment="1">
      <alignment horizontal="justify" vertical="justify" wrapText="1"/>
    </xf>
    <xf numFmtId="0" fontId="27" fillId="0" borderId="0" xfId="4" applyFont="1" applyAlignment="1">
      <alignment horizontal="left"/>
    </xf>
    <xf numFmtId="0" fontId="27" fillId="0" borderId="0" xfId="4" applyFont="1"/>
    <xf numFmtId="0" fontId="25" fillId="0" borderId="0" xfId="4" applyFont="1" applyAlignment="1">
      <alignment wrapText="1"/>
    </xf>
    <xf numFmtId="14" fontId="25" fillId="0" borderId="0" xfId="4" applyNumberFormat="1" applyFont="1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left"/>
    </xf>
    <xf numFmtId="0" fontId="25" fillId="0" borderId="0" xfId="4" applyFont="1" applyAlignment="1"/>
    <xf numFmtId="0" fontId="25" fillId="0" borderId="0" xfId="4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Alignment="1"/>
    <xf numFmtId="0" fontId="28" fillId="0" borderId="0" xfId="4" applyFont="1" applyBorder="1" applyAlignment="1">
      <alignment horizontal="center"/>
    </xf>
    <xf numFmtId="0" fontId="25" fillId="0" borderId="0" xfId="4" applyFont="1" applyAlignment="1">
      <alignment horizontal="center"/>
    </xf>
    <xf numFmtId="0" fontId="30" fillId="3" borderId="0" xfId="5" applyFont="1" applyFill="1" applyAlignment="1">
      <alignment vertical="top"/>
    </xf>
    <xf numFmtId="0" fontId="29" fillId="3" borderId="0" xfId="5" applyFill="1" applyAlignment="1">
      <alignment vertical="top"/>
    </xf>
    <xf numFmtId="0" fontId="29" fillId="2" borderId="0" xfId="5" applyFill="1" applyAlignment="1">
      <alignment vertical="top"/>
    </xf>
    <xf numFmtId="0" fontId="29" fillId="3" borderId="0" xfId="5" applyFill="1" applyAlignment="1">
      <alignment horizontal="center" vertical="top" wrapText="1"/>
    </xf>
    <xf numFmtId="0" fontId="29" fillId="3" borderId="0" xfId="5" applyFont="1" applyFill="1" applyAlignment="1">
      <alignment horizontal="center" vertical="top" wrapText="1"/>
    </xf>
    <xf numFmtId="0" fontId="31" fillId="4" borderId="11" xfId="5" applyFont="1" applyFill="1" applyBorder="1" applyAlignment="1">
      <alignment horizontal="center" vertical="top" wrapText="1"/>
    </xf>
    <xf numFmtId="0" fontId="32" fillId="0" borderId="11" xfId="5" applyFont="1" applyBorder="1" applyAlignment="1">
      <alignment horizontal="center" vertical="center" wrapText="1"/>
    </xf>
    <xf numFmtId="0" fontId="29" fillId="3" borderId="11" xfId="5" applyFill="1" applyBorder="1" applyAlignment="1">
      <alignment vertical="top"/>
    </xf>
    <xf numFmtId="0" fontId="31" fillId="4" borderId="12" xfId="5" applyFont="1" applyFill="1" applyBorder="1" applyAlignment="1">
      <alignment horizontal="center" vertical="top" wrapText="1"/>
    </xf>
    <xf numFmtId="0" fontId="31" fillId="4" borderId="13" xfId="5" applyFont="1" applyFill="1" applyBorder="1" applyAlignment="1">
      <alignment horizontal="center" vertical="top" wrapText="1"/>
    </xf>
    <xf numFmtId="0" fontId="31" fillId="4" borderId="14" xfId="5" applyFont="1" applyFill="1" applyBorder="1" applyAlignment="1">
      <alignment horizontal="center" vertical="top" wrapText="1"/>
    </xf>
    <xf numFmtId="0" fontId="31" fillId="4" borderId="15" xfId="5" applyFont="1" applyFill="1" applyBorder="1" applyAlignment="1">
      <alignment horizontal="center" vertical="top" wrapText="1"/>
    </xf>
    <xf numFmtId="0" fontId="31" fillId="4" borderId="16" xfId="5" applyFont="1" applyFill="1" applyBorder="1" applyAlignment="1">
      <alignment horizontal="center" vertical="top" wrapText="1"/>
    </xf>
    <xf numFmtId="0" fontId="33" fillId="5" borderId="0" xfId="5" applyFont="1" applyFill="1" applyAlignment="1" applyProtection="1">
      <alignment vertical="top"/>
      <protection locked="0"/>
    </xf>
    <xf numFmtId="0" fontId="29" fillId="3" borderId="0" xfId="5" applyFill="1" applyAlignment="1" applyProtection="1">
      <alignment vertical="top"/>
      <protection locked="0"/>
    </xf>
    <xf numFmtId="0" fontId="29" fillId="2" borderId="0" xfId="5" applyFill="1" applyAlignment="1" applyProtection="1">
      <alignment vertical="top"/>
      <protection locked="0"/>
    </xf>
    <xf numFmtId="0" fontId="29" fillId="3" borderId="17" xfId="5" applyFill="1" applyBorder="1" applyAlignment="1">
      <alignment horizontal="center" vertical="top"/>
    </xf>
    <xf numFmtId="0" fontId="29" fillId="3" borderId="17" xfId="5" applyFill="1" applyBorder="1" applyAlignment="1">
      <alignment horizontal="left" vertical="top"/>
    </xf>
    <xf numFmtId="0" fontId="29" fillId="3" borderId="11" xfId="5" applyFill="1" applyBorder="1" applyAlignment="1">
      <alignment horizontal="left" vertical="top"/>
    </xf>
    <xf numFmtId="0" fontId="29" fillId="3" borderId="18" xfId="5" applyFill="1" applyBorder="1" applyAlignment="1">
      <alignment horizontal="center" vertical="top"/>
    </xf>
    <xf numFmtId="0" fontId="29" fillId="3" borderId="19" xfId="5" applyFill="1" applyBorder="1" applyAlignment="1">
      <alignment horizontal="left" vertical="top"/>
    </xf>
    <xf numFmtId="0" fontId="29" fillId="3" borderId="18" xfId="5" applyFill="1" applyBorder="1" applyAlignment="1">
      <alignment horizontal="left" vertical="top"/>
    </xf>
    <xf numFmtId="0" fontId="29" fillId="3" borderId="19" xfId="5" applyFill="1" applyBorder="1" applyAlignment="1">
      <alignment horizontal="center" vertical="top"/>
    </xf>
    <xf numFmtId="0" fontId="33" fillId="5" borderId="0" xfId="5" quotePrefix="1" applyFont="1" applyFill="1" applyAlignment="1" applyProtection="1">
      <alignment vertical="top"/>
      <protection locked="0"/>
    </xf>
  </cellXfs>
  <cellStyles count="6">
    <cellStyle name="Normal" xfId="0" builtinId="0"/>
    <cellStyle name="Normal 2" xfId="5"/>
    <cellStyle name="Normal 2 18" xfId="4"/>
    <cellStyle name="Normal 3" xfId="2"/>
    <cellStyle name="Normal_cover-jiwa" xfId="3"/>
    <cellStyle name="Normal_Umum" xfId="1"/>
  </cellStyles>
  <dxfs count="54"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3.xml"/><Relationship Id="rId68" Type="http://schemas.openxmlformats.org/officeDocument/2006/relationships/externalLink" Target="externalLinks/externalLink1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74" Type="http://schemas.openxmlformats.org/officeDocument/2006/relationships/externalLink" Target="externalLinks/externalLink24.xml"/><Relationship Id="rId79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externalLink" Target="externalLinks/externalLink14.xml"/><Relationship Id="rId69" Type="http://schemas.openxmlformats.org/officeDocument/2006/relationships/externalLink" Target="externalLinks/externalLink19.xml"/><Relationship Id="rId77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72" Type="http://schemas.openxmlformats.org/officeDocument/2006/relationships/externalLink" Target="externalLinks/externalLink22.xml"/><Relationship Id="rId80" Type="http://schemas.openxmlformats.org/officeDocument/2006/relationships/externalLink" Target="externalLinks/externalLink30.xml"/><Relationship Id="rId85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67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externalLink" Target="externalLinks/externalLink12.xml"/><Relationship Id="rId70" Type="http://schemas.openxmlformats.org/officeDocument/2006/relationships/externalLink" Target="externalLinks/externalLink20.xml"/><Relationship Id="rId75" Type="http://schemas.openxmlformats.org/officeDocument/2006/relationships/externalLink" Target="externalLinks/externalLink2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65" Type="http://schemas.openxmlformats.org/officeDocument/2006/relationships/externalLink" Target="externalLinks/externalLink15.xml"/><Relationship Id="rId73" Type="http://schemas.openxmlformats.org/officeDocument/2006/relationships/externalLink" Target="externalLinks/externalLink23.xml"/><Relationship Id="rId78" Type="http://schemas.openxmlformats.org/officeDocument/2006/relationships/externalLink" Target="externalLinks/externalLink28.xml"/><Relationship Id="rId81" Type="http://schemas.openxmlformats.org/officeDocument/2006/relationships/theme" Target="theme/theme1.xml"/><Relationship Id="rId86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6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6.xml"/><Relationship Id="rId87" Type="http://schemas.openxmlformats.org/officeDocument/2006/relationships/customXml" Target="../customXml/item3.xml"/><Relationship Id="rId61" Type="http://schemas.openxmlformats.org/officeDocument/2006/relationships/externalLink" Target="externalLinks/externalLink11.xml"/><Relationship Id="rId8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16</xdr:row>
      <xdr:rowOff>19050</xdr:rowOff>
    </xdr:from>
    <xdr:to>
      <xdr:col>6</xdr:col>
      <xdr:colOff>9525</xdr:colOff>
      <xdr:row>18</xdr:row>
      <xdr:rowOff>0</xdr:rowOff>
    </xdr:to>
    <xdr:cxnSp macro="">
      <xdr:nvCxnSpPr>
        <xdr:cNvPr id="2" name="Straight Connector 1"/>
        <xdr:cNvCxnSpPr/>
      </xdr:nvCxnSpPr>
      <xdr:spPr>
        <a:xfrm flipV="1">
          <a:off x="4314825" y="2752725"/>
          <a:ext cx="971550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1390650</xdr:colOff>
      <xdr:row>20</xdr:row>
      <xdr:rowOff>9525</xdr:rowOff>
    </xdr:from>
    <xdr:to>
      <xdr:col>6</xdr:col>
      <xdr:colOff>9525</xdr:colOff>
      <xdr:row>21</xdr:row>
      <xdr:rowOff>0</xdr:rowOff>
    </xdr:to>
    <xdr:cxnSp macro="">
      <xdr:nvCxnSpPr>
        <xdr:cNvPr id="3" name="Straight Connector 2"/>
        <xdr:cNvCxnSpPr/>
      </xdr:nvCxnSpPr>
      <xdr:spPr>
        <a:xfrm flipV="1">
          <a:off x="4295775" y="3590925"/>
          <a:ext cx="99060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520007\Rsv_mli\Data\Rsv_mli\2005\Details\MNP_detai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himas\My%20Documents\00_Finance&amp;Accounting\01_ACCOUNTING\MONTHLY%20REPORT\Agustus08\LKATK2008%2520ags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ventika\RESERVE%202009\Documents%20and%20Settings\julina\Local%20Settings\Temporary%20Internet%20Files\OLK69\Budget%202009_Final_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3b-pc14-028\d$\WINDOWS\Temporary%20Internet%20Files\OLKB284\Projectio%20P&amp;L%20as%20MOF%20Foma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porting\Lap%20Tri%20III\Documents%20and%20Settings\Takaful\Local%20Settings\Temporary%20Internet%20Files\Content.IE5\6NEFEF8R\kalk_CAD_IBNR_KUMP_%20KESEHATAN_04_05_re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de_akt\Lia\Pekerjaan\reporting\Laporan%20Operasional%20Tahunan%202008\Lap%20Tri%20III\Documents%20and%20Settings\Takaful\Local%20Settings\Temporary%20Internet%20Files\Content.IE5\6NEFEF8R\kalk_CAD_IBNR_KUMP_%20KESEHATAN_04_05_re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Bagian%20Asuransi%20dan%20BPJS%20Kesehatan\Laporan%20Tahunan\Softfile%20LPTS%20Y2015%20-%20Operasional\PAJ\38.PT%20Asuransi%20Jiwa%20Manulife%20Indonesia\Konvensional%20dengan%20cabang%20Syariah%20(Lamp%20XXVIII)%20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720004\workdata\ACT\ACTUARIA\Task\MOF%20Report%20Manulife\Operational%20Report\2001\Operational%20Report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ACT\LOCAL\Workdata\Data\MOF%20REPORT\MOF%20Report%20Consolidasi\Operational\Annually\2015\Form%20D\Form%20D2_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GIN2\LAP%20OPERASIONAL\Bahan%20Laporan%20Operasional%202013\FORM%20A_OK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9.13\My%20Documents\data%20murabaha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rusahaan%20Asuransi%20Umu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ant\LOCALS~1\Temp\Laporan\LaporanDepKeu_DAI\2003\hip\oustd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D1-PE~1\0_PERA~1\RPOJKK~1\2_DRAF~1\SELAPO~1\LAMPIR~2\LAMPIR~2\FORMAT~1\Lampiran%20II%20-%202%20Laporan%20Keuangan%20PAJ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90220795\DATA\Amp\AMP\AMP%20for%20AXIS%20conversion%2008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40320908\data\data\amp\valuatio\RESERVE\2003\VAL1003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10\LapKeu%202007%20okt%20terakhir%202%20erik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1\LapKeu_1206_DEKOM_19JAN07_1511p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ik\c\WINDOWS\TEMP\perincian%20lapkeu%20mei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3B-FSSVR\Untuk%20DHUK\Oksidea\Simplifikasi%20Laporan%20Asuransi\3.%2022%20Feb%202017\2.%20PAU\1.%20Konsep%20Laporan%20Keuangan%20Tradisional%20PAJ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LapKeu_1206_v1-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20320881\WORK\G400%20Rsv\0106\G400v6Rsv%200106%20(adj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sant%20lapkeu\LapKeu_1106_v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D%201%20-%20Pengaturan%20Asuransi%20dan%20DP/2019/1_Peraturan/2_SEOJK%20Perubahan%201,2,3%20Laporan%20Asuransi/0_Lampiran/Keu%20Konv/Format%20II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LapKeu_1006_v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oyo\LOCALS~1\Temp\00_Finance&amp;Accounting\01_ACCOUNTING\MONTHLY%20REPORT\Agustus08\LKATK2008%25252520agst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sant%20lapkeu\LapKeu_1106_v2%20sa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8.100.40\dsin\WINDOWS\Temporary%20Internet%20Files\OLKB284\Projectio%20P&amp;L%20as%20MOF%20Fom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720004\workdata\RBC%20Manulife%20Ind\2004\4th%20Q%202004\RBC_Dec_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030520007\MOF%20Report%20Manulife\Data\Rsv_mli\2005\MNP\MNP1205_5%25(USD)_9%25(ID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P0105_ detail"/>
      <sheetName val="Pivot0105_detail"/>
      <sheetName val="MNP0105"/>
      <sheetName val="Pivot0105"/>
      <sheetName val="MNP0205_detail"/>
      <sheetName val="Pivot0205_detail"/>
      <sheetName val="MNP0205"/>
      <sheetName val="Pivot0205"/>
      <sheetName val="MNP0305_detail"/>
      <sheetName val="Pivot0305_detail"/>
      <sheetName val="MNP0305"/>
      <sheetName val="Pivot0305"/>
      <sheetName val="MNP0405_detail"/>
      <sheetName val="Pivot0405_detail"/>
      <sheetName val="MNP0405"/>
      <sheetName val="Pivot0405"/>
      <sheetName val="MNP0505"/>
      <sheetName val="Pivot0505"/>
      <sheetName val="PLUS0505"/>
      <sheetName val="Pivot_Plus05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(2)"/>
      <sheetName val="MENU"/>
      <sheetName val="FORMAT 1"/>
      <sheetName val="FORMAT 1 (2)"/>
      <sheetName val="FORMAT 2"/>
      <sheetName val="FORMAT 3"/>
      <sheetName val="FORMAT 4 (format audit)"/>
      <sheetName val="AJP"/>
      <sheetName val="WS"/>
      <sheetName val="FS"/>
      <sheetName val="EXPENSE"/>
      <sheetName val="FORMAT 2 (format audit)"/>
      <sheetName val="ws pivot"/>
      <sheetName val="DPS_DPT"/>
      <sheetName val="template"/>
      <sheetName val="BUDGET"/>
      <sheetName val="RBC rinci (2)"/>
      <sheetName val="RBC (2)"/>
      <sheetName val="RBC"/>
      <sheetName val="Hilite"/>
      <sheetName val="TB"/>
      <sheetName val="FORMAT 4 (2007)"/>
      <sheetName val="FORMAT 4"/>
      <sheetName val="RBC rinci"/>
      <sheetName val="zakat"/>
      <sheetName val="Sheet1"/>
      <sheetName val="CASHFLOW"/>
    </sheetNames>
    <sheetDataSet>
      <sheetData sheetId="0"/>
      <sheetData sheetId="1">
        <row r="1">
          <cell r="AF1" t="str">
            <v>PT ASURANSI TAKAFUL KELUARGA</v>
          </cell>
        </row>
      </sheetData>
      <sheetData sheetId="2"/>
      <sheetData sheetId="3"/>
      <sheetData sheetId="4"/>
      <sheetData sheetId="5">
        <row r="7">
          <cell r="N7">
            <v>39447</v>
          </cell>
        </row>
      </sheetData>
      <sheetData sheetId="6"/>
      <sheetData sheetId="7">
        <row r="21">
          <cell r="E21">
            <v>3010201</v>
          </cell>
        </row>
      </sheetData>
      <sheetData sheetId="8"/>
      <sheetData sheetId="9"/>
      <sheetData sheetId="10">
        <row r="5">
          <cell r="F5">
            <v>39691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TM"/>
      <sheetName val="Agency"/>
      <sheetName val="adj reserve4mngmnt"/>
      <sheetName val="Plan-Monthly (2)"/>
      <sheetName val="PL By Line 0907"/>
      <sheetName val="PL By Line 1207"/>
      <sheetName val="PL by Line 1108"/>
      <sheetName val="Var"/>
      <sheetName val="Bp Value"/>
      <sheetName val="Business Plan 2009_final_Be (2)"/>
      <sheetName val="Business Plan 2009_final_Best "/>
      <sheetName val="Business Plan 2009_final"/>
      <sheetName val="Business Plan 2009 (2)"/>
      <sheetName val="Business Plan 2009_Presen BOD"/>
      <sheetName val="Old"/>
      <sheetName val="Projection_09"/>
      <sheetName val="Summary"/>
      <sheetName val="Res-Group&amp;WS"/>
      <sheetName val="Claim"/>
      <sheetName val="Res-Agency"/>
      <sheetName val="Res-Bancassurance"/>
      <sheetName val="SINGLE-as of Dec 05 (Dt Agt (2)"/>
      <sheetName val="MATURITY_0105_1205"/>
      <sheetName val="TAHAPAN_0105_1205"/>
      <sheetName val="Res_SEKALIGUS_0904"/>
      <sheetName val="Res-DMTM"/>
      <sheetName val="Input (2)"/>
      <sheetName val="Input"/>
      <sheetName val="Target Premi (old Target )"/>
      <sheetName val="Group Sept 04"/>
      <sheetName val="Res Des 04 (2)"/>
      <sheetName val="Sept 04"/>
      <sheetName val="Res Des 04"/>
      <sheetName val="Lapse Reserve Sept 04"/>
      <sheetName val="Res_REGULER-0904"/>
      <sheetName val="NB-Sekaligus( Oct-Des04)"/>
      <sheetName val="NB_REGULER-(okt-Dec04)"/>
      <sheetName val="Res 2005"/>
      <sheetName val="Analisa Reserve"/>
      <sheetName val="Komisi &amp; Override NB 05"/>
      <sheetName val="Plan (2)"/>
      <sheetName val="Premi-Res Spld "/>
      <sheetName val="AKUNTING-2003"/>
      <sheetName val="projection report (Final ) (3)"/>
      <sheetName val="projection report (Final ) (2)"/>
      <sheetName val="projection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R11">
            <v>0.11058605573448374</v>
          </cell>
          <cell r="S11">
            <v>5.7218150902283701E-2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 (2)"/>
      <sheetName val="Neraca"/>
      <sheetName val="RBC-Syariah"/>
      <sheetName val="RBC-Konvensional"/>
      <sheetName val="RBC"/>
      <sheetName val="Profit Loss"/>
      <sheetName val="var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1000000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NR_KES_04_05"/>
      <sheetName val="3_Invest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NR_KES_04_05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f_isi"/>
      <sheetName val="akt"/>
      <sheetName val="TK"/>
      <sheetName val="IA1"/>
      <sheetName val="IA2"/>
      <sheetName val="IB1A"/>
      <sheetName val="IB1B"/>
      <sheetName val="IC1"/>
      <sheetName val="IC2"/>
      <sheetName val="ID1A"/>
      <sheetName val="ID1B"/>
      <sheetName val="ID1C"/>
      <sheetName val="ID1D"/>
      <sheetName val="ID1E"/>
      <sheetName val="ID1F"/>
      <sheetName val="ID2"/>
      <sheetName val="ID3"/>
      <sheetName val="IE"/>
      <sheetName val="IIA1"/>
      <sheetName val="IIA2"/>
      <sheetName val="IIB1A"/>
      <sheetName val="IIB1B"/>
      <sheetName val="IIB2A"/>
      <sheetName val="IIB2B"/>
      <sheetName val="IIC1"/>
      <sheetName val="IIC2"/>
      <sheetName val="IID1A"/>
      <sheetName val="IID1B"/>
      <sheetName val="IID1C"/>
      <sheetName val="IID1D"/>
      <sheetName val="IID1E"/>
      <sheetName val="IID1F"/>
      <sheetName val="IID2"/>
      <sheetName val="IID3"/>
      <sheetName val="IIE"/>
      <sheetName val="IB2A"/>
      <sheetName val="IB2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>
        <row r="2">
          <cell r="D2">
            <v>13795</v>
          </cell>
        </row>
      </sheetData>
      <sheetData sheetId="13"/>
      <sheetData sheetId="14">
        <row r="2">
          <cell r="D2">
            <v>13795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1"/>
      <sheetName val="employee"/>
      <sheetName val="API_summary_by_type"/>
      <sheetName val="form A"/>
      <sheetName val="form C2"/>
      <sheetName val="BASIC_RP"/>
      <sheetName val="BASIC_US"/>
      <sheetName val="RID_RP"/>
      <sheetName val="RID_US"/>
      <sheetName val="form D1a"/>
      <sheetName val="form D1b"/>
      <sheetName val="Reserve"/>
      <sheetName val="form D1c"/>
      <sheetName val="form D1d"/>
      <sheetName val="form D3"/>
      <sheetName val="IBNR"/>
      <sheetName val="form D2"/>
      <sheetName val="KURS_USD"/>
    </sheetNames>
    <sheetDataSet>
      <sheetData sheetId="0" refreshError="1"/>
      <sheetData sheetId="1" refreshError="1">
        <row r="5">
          <cell r="C5" t="str">
            <v>PT. AJ. Manulife Indonesia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>
            <v>10400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f_isi"/>
      <sheetName val="akt"/>
      <sheetName val="TK"/>
      <sheetName val="D1a Prop"/>
      <sheetName val="D1e"/>
      <sheetName val="D1f"/>
      <sheetName val="D2"/>
      <sheetName val="NP Fac Base"/>
      <sheetName val="NP Fac Rider"/>
      <sheetName val="D3 JHIN"/>
      <sheetName val="II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>
            <v>13795</v>
          </cell>
        </row>
      </sheetData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PP 2012"/>
      <sheetName val="NB PK 2012"/>
      <sheetName val="Form A 2012"/>
      <sheetName val="Lap Keu 201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 (3)"/>
      <sheetName val="rekap bahas"/>
      <sheetName val="REKAP"/>
      <sheetName val="rekap juni"/>
      <sheetName val="report1 (2)"/>
      <sheetName val="rinci juni"/>
      <sheetName val="kartu"/>
      <sheetName val="reg"/>
      <sheetName val="lunas"/>
      <sheetName val="report2"/>
    </sheetNames>
    <sheetDataSet>
      <sheetData sheetId="0">
        <row r="8">
          <cell r="B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B8">
            <v>1</v>
          </cell>
        </row>
        <row r="9">
          <cell r="B9">
            <v>2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5</v>
          </cell>
        </row>
        <row r="13">
          <cell r="B13">
            <v>6</v>
          </cell>
        </row>
        <row r="14">
          <cell r="B14">
            <v>7</v>
          </cell>
        </row>
        <row r="15">
          <cell r="B15">
            <v>8</v>
          </cell>
        </row>
        <row r="16">
          <cell r="B16">
            <v>9</v>
          </cell>
        </row>
        <row r="17">
          <cell r="B17">
            <v>10</v>
          </cell>
        </row>
        <row r="18">
          <cell r="B18">
            <v>11</v>
          </cell>
        </row>
        <row r="19">
          <cell r="B19">
            <v>12</v>
          </cell>
        </row>
        <row r="20">
          <cell r="B20">
            <v>13</v>
          </cell>
        </row>
        <row r="21">
          <cell r="B21">
            <v>14</v>
          </cell>
        </row>
        <row r="22">
          <cell r="B22">
            <v>15</v>
          </cell>
        </row>
        <row r="23">
          <cell r="B23">
            <v>16</v>
          </cell>
        </row>
        <row r="24">
          <cell r="B24">
            <v>17</v>
          </cell>
        </row>
        <row r="25">
          <cell r="B25">
            <v>18</v>
          </cell>
        </row>
        <row r="26">
          <cell r="B26">
            <v>19</v>
          </cell>
        </row>
        <row r="27">
          <cell r="B27">
            <v>20</v>
          </cell>
        </row>
        <row r="28">
          <cell r="B28">
            <v>21</v>
          </cell>
        </row>
        <row r="29">
          <cell r="B29">
            <v>22</v>
          </cell>
        </row>
        <row r="30">
          <cell r="B30">
            <v>23</v>
          </cell>
        </row>
        <row r="31">
          <cell r="B31">
            <v>24</v>
          </cell>
        </row>
        <row r="32">
          <cell r="B32">
            <v>25</v>
          </cell>
        </row>
        <row r="33">
          <cell r="B33">
            <v>26</v>
          </cell>
        </row>
        <row r="34">
          <cell r="B34">
            <v>27</v>
          </cell>
        </row>
        <row r="35">
          <cell r="B35">
            <v>28</v>
          </cell>
        </row>
        <row r="36">
          <cell r="B36">
            <v>29</v>
          </cell>
        </row>
        <row r="37">
          <cell r="B37">
            <v>30</v>
          </cell>
        </row>
        <row r="38">
          <cell r="B38">
            <v>31</v>
          </cell>
        </row>
        <row r="39">
          <cell r="B39">
            <v>32</v>
          </cell>
        </row>
        <row r="40">
          <cell r="B40">
            <v>33</v>
          </cell>
        </row>
        <row r="41">
          <cell r="B41">
            <v>34</v>
          </cell>
        </row>
        <row r="42">
          <cell r="B42">
            <v>35</v>
          </cell>
        </row>
        <row r="43">
          <cell r="B43">
            <v>36</v>
          </cell>
        </row>
        <row r="44">
          <cell r="B44">
            <v>37</v>
          </cell>
        </row>
        <row r="45">
          <cell r="B45">
            <v>38</v>
          </cell>
        </row>
        <row r="46">
          <cell r="B46">
            <v>39</v>
          </cell>
        </row>
        <row r="47">
          <cell r="B47">
            <v>40</v>
          </cell>
        </row>
        <row r="48">
          <cell r="B48">
            <v>41</v>
          </cell>
        </row>
        <row r="49">
          <cell r="B49">
            <v>42</v>
          </cell>
        </row>
        <row r="50">
          <cell r="B50">
            <v>43</v>
          </cell>
        </row>
        <row r="51">
          <cell r="B51">
            <v>44</v>
          </cell>
        </row>
        <row r="52">
          <cell r="B52">
            <v>45</v>
          </cell>
        </row>
        <row r="53">
          <cell r="B53">
            <v>46</v>
          </cell>
        </row>
        <row r="54">
          <cell r="B54">
            <v>47</v>
          </cell>
        </row>
        <row r="55">
          <cell r="B55">
            <v>48</v>
          </cell>
        </row>
        <row r="56">
          <cell r="B56">
            <v>49</v>
          </cell>
        </row>
        <row r="57">
          <cell r="B57">
            <v>50</v>
          </cell>
        </row>
        <row r="58">
          <cell r="B58">
            <v>51</v>
          </cell>
        </row>
        <row r="59">
          <cell r="B59">
            <v>52</v>
          </cell>
        </row>
        <row r="60">
          <cell r="B60">
            <v>53</v>
          </cell>
        </row>
        <row r="61">
          <cell r="B61">
            <v>54</v>
          </cell>
        </row>
        <row r="62">
          <cell r="B62">
            <v>55</v>
          </cell>
        </row>
        <row r="63">
          <cell r="B63">
            <v>56</v>
          </cell>
        </row>
        <row r="64">
          <cell r="B64">
            <v>57</v>
          </cell>
        </row>
        <row r="65">
          <cell r="B65">
            <v>58</v>
          </cell>
        </row>
        <row r="66">
          <cell r="B66">
            <v>59</v>
          </cell>
        </row>
        <row r="67">
          <cell r="B67">
            <v>60</v>
          </cell>
        </row>
        <row r="68">
          <cell r="B68">
            <v>61</v>
          </cell>
        </row>
        <row r="69">
          <cell r="B69">
            <v>62</v>
          </cell>
        </row>
        <row r="70">
          <cell r="B70">
            <v>63</v>
          </cell>
        </row>
        <row r="71">
          <cell r="B71">
            <v>64</v>
          </cell>
        </row>
        <row r="72">
          <cell r="B72">
            <v>65</v>
          </cell>
        </row>
        <row r="73">
          <cell r="B73">
            <v>66</v>
          </cell>
        </row>
        <row r="74">
          <cell r="B74">
            <v>67</v>
          </cell>
        </row>
        <row r="75">
          <cell r="B75">
            <v>68</v>
          </cell>
        </row>
        <row r="76">
          <cell r="B76">
            <v>69</v>
          </cell>
        </row>
        <row r="77">
          <cell r="B77">
            <v>70</v>
          </cell>
        </row>
        <row r="78">
          <cell r="B78">
            <v>71</v>
          </cell>
        </row>
        <row r="79">
          <cell r="B79">
            <v>72</v>
          </cell>
        </row>
        <row r="80">
          <cell r="B80">
            <v>73</v>
          </cell>
        </row>
        <row r="81">
          <cell r="B81">
            <v>74</v>
          </cell>
        </row>
        <row r="82">
          <cell r="B82">
            <v>75</v>
          </cell>
        </row>
        <row r="83">
          <cell r="B83">
            <v>76</v>
          </cell>
        </row>
        <row r="84">
          <cell r="B84">
            <v>77</v>
          </cell>
        </row>
        <row r="85">
          <cell r="B85">
            <v>78</v>
          </cell>
        </row>
        <row r="86">
          <cell r="B86">
            <v>79</v>
          </cell>
        </row>
        <row r="87">
          <cell r="B87">
            <v>80</v>
          </cell>
        </row>
        <row r="88">
          <cell r="B88">
            <v>81</v>
          </cell>
        </row>
        <row r="89">
          <cell r="B89">
            <v>82</v>
          </cell>
        </row>
        <row r="90">
          <cell r="B90">
            <v>83</v>
          </cell>
        </row>
        <row r="91">
          <cell r="B91">
            <v>84</v>
          </cell>
        </row>
        <row r="92">
          <cell r="B92">
            <v>85</v>
          </cell>
        </row>
        <row r="93">
          <cell r="B93">
            <v>86</v>
          </cell>
        </row>
        <row r="94">
          <cell r="B94">
            <v>87</v>
          </cell>
        </row>
        <row r="95">
          <cell r="B95">
            <v>88</v>
          </cell>
        </row>
        <row r="96">
          <cell r="B96">
            <v>89</v>
          </cell>
        </row>
        <row r="97">
          <cell r="B97">
            <v>90</v>
          </cell>
        </row>
        <row r="98">
          <cell r="B98">
            <v>91</v>
          </cell>
        </row>
        <row r="99">
          <cell r="B99">
            <v>92</v>
          </cell>
        </row>
        <row r="100">
          <cell r="B100">
            <v>93</v>
          </cell>
        </row>
        <row r="101">
          <cell r="B101">
            <v>94</v>
          </cell>
        </row>
        <row r="102">
          <cell r="B102">
            <v>95</v>
          </cell>
        </row>
        <row r="103">
          <cell r="B103">
            <v>96</v>
          </cell>
        </row>
        <row r="104">
          <cell r="B104">
            <v>97</v>
          </cell>
        </row>
        <row r="105">
          <cell r="B105">
            <v>98</v>
          </cell>
        </row>
        <row r="106">
          <cell r="B106">
            <v>99</v>
          </cell>
        </row>
        <row r="107">
          <cell r="B107">
            <v>100</v>
          </cell>
        </row>
        <row r="108">
          <cell r="B108">
            <v>101</v>
          </cell>
        </row>
        <row r="109">
          <cell r="B109">
            <v>102</v>
          </cell>
        </row>
        <row r="110">
          <cell r="B110">
            <v>103</v>
          </cell>
        </row>
        <row r="111">
          <cell r="B111">
            <v>104</v>
          </cell>
        </row>
        <row r="112">
          <cell r="B112">
            <v>105</v>
          </cell>
        </row>
        <row r="113">
          <cell r="B113">
            <v>106</v>
          </cell>
        </row>
        <row r="114">
          <cell r="B114">
            <v>107</v>
          </cell>
        </row>
        <row r="115">
          <cell r="B115">
            <v>108</v>
          </cell>
        </row>
        <row r="116">
          <cell r="B116">
            <v>109</v>
          </cell>
        </row>
        <row r="117">
          <cell r="B117">
            <v>110</v>
          </cell>
        </row>
        <row r="118">
          <cell r="B118">
            <v>111</v>
          </cell>
        </row>
        <row r="119">
          <cell r="B119">
            <v>112</v>
          </cell>
        </row>
        <row r="120">
          <cell r="B120">
            <v>113</v>
          </cell>
        </row>
        <row r="121">
          <cell r="B121">
            <v>114</v>
          </cell>
        </row>
        <row r="122">
          <cell r="B122">
            <v>115</v>
          </cell>
        </row>
        <row r="123">
          <cell r="B123">
            <v>116</v>
          </cell>
        </row>
        <row r="124">
          <cell r="B124">
            <v>117</v>
          </cell>
        </row>
        <row r="125">
          <cell r="B125">
            <v>118</v>
          </cell>
        </row>
        <row r="126">
          <cell r="B126">
            <v>119</v>
          </cell>
        </row>
        <row r="127">
          <cell r="B127">
            <v>120</v>
          </cell>
        </row>
        <row r="128">
          <cell r="B128">
            <v>121</v>
          </cell>
        </row>
        <row r="129">
          <cell r="B129">
            <v>122</v>
          </cell>
        </row>
        <row r="130">
          <cell r="B130">
            <v>123</v>
          </cell>
        </row>
        <row r="131">
          <cell r="B131">
            <v>124</v>
          </cell>
        </row>
        <row r="132">
          <cell r="B132">
            <v>125</v>
          </cell>
        </row>
        <row r="133">
          <cell r="B133">
            <v>126</v>
          </cell>
        </row>
        <row r="134">
          <cell r="B134">
            <v>127</v>
          </cell>
        </row>
        <row r="135">
          <cell r="B135">
            <v>128</v>
          </cell>
        </row>
        <row r="136">
          <cell r="B136">
            <v>129</v>
          </cell>
        </row>
        <row r="137">
          <cell r="B137">
            <v>130</v>
          </cell>
        </row>
        <row r="138">
          <cell r="B138">
            <v>131</v>
          </cell>
        </row>
        <row r="139">
          <cell r="B139">
            <v>132</v>
          </cell>
        </row>
        <row r="140">
          <cell r="B140">
            <v>133</v>
          </cell>
        </row>
        <row r="141">
          <cell r="B141">
            <v>134</v>
          </cell>
        </row>
        <row r="142">
          <cell r="B142">
            <v>135</v>
          </cell>
        </row>
        <row r="143">
          <cell r="B143">
            <v>136</v>
          </cell>
        </row>
        <row r="144">
          <cell r="B144">
            <v>137</v>
          </cell>
        </row>
        <row r="145">
          <cell r="B145">
            <v>138</v>
          </cell>
        </row>
        <row r="146">
          <cell r="B146">
            <v>139</v>
          </cell>
        </row>
        <row r="147">
          <cell r="B147">
            <v>140</v>
          </cell>
        </row>
        <row r="148">
          <cell r="B148">
            <v>141</v>
          </cell>
        </row>
        <row r="149">
          <cell r="B149">
            <v>142</v>
          </cell>
        </row>
        <row r="150">
          <cell r="B150">
            <v>143</v>
          </cell>
        </row>
        <row r="151">
          <cell r="B151">
            <v>144</v>
          </cell>
        </row>
        <row r="152">
          <cell r="B152">
            <v>145</v>
          </cell>
        </row>
        <row r="153">
          <cell r="B153">
            <v>146</v>
          </cell>
        </row>
        <row r="154">
          <cell r="B154">
            <v>147</v>
          </cell>
        </row>
        <row r="155">
          <cell r="B155">
            <v>148</v>
          </cell>
        </row>
        <row r="156">
          <cell r="B156">
            <v>149</v>
          </cell>
        </row>
        <row r="157">
          <cell r="B157">
            <v>150</v>
          </cell>
        </row>
        <row r="158">
          <cell r="B158">
            <v>151</v>
          </cell>
        </row>
        <row r="159">
          <cell r="B159">
            <v>152</v>
          </cell>
        </row>
        <row r="160">
          <cell r="B160">
            <v>153</v>
          </cell>
        </row>
        <row r="161">
          <cell r="B161">
            <v>154</v>
          </cell>
        </row>
        <row r="162">
          <cell r="B162">
            <v>155</v>
          </cell>
        </row>
        <row r="163">
          <cell r="B163">
            <v>156</v>
          </cell>
        </row>
        <row r="164">
          <cell r="B164">
            <v>157</v>
          </cell>
        </row>
        <row r="165">
          <cell r="B165">
            <v>158</v>
          </cell>
        </row>
        <row r="166">
          <cell r="B166">
            <v>159</v>
          </cell>
        </row>
        <row r="167">
          <cell r="B167">
            <v>160</v>
          </cell>
        </row>
        <row r="168">
          <cell r="B168">
            <v>161</v>
          </cell>
        </row>
        <row r="169">
          <cell r="B169">
            <v>162</v>
          </cell>
        </row>
        <row r="170">
          <cell r="B170">
            <v>163</v>
          </cell>
        </row>
        <row r="171">
          <cell r="B171">
            <v>164</v>
          </cell>
        </row>
        <row r="172">
          <cell r="B172">
            <v>165</v>
          </cell>
        </row>
        <row r="173">
          <cell r="B173">
            <v>166</v>
          </cell>
        </row>
        <row r="174">
          <cell r="B174">
            <v>167</v>
          </cell>
        </row>
        <row r="175">
          <cell r="B175">
            <v>168</v>
          </cell>
        </row>
        <row r="176">
          <cell r="B176">
            <v>169</v>
          </cell>
        </row>
        <row r="177">
          <cell r="B177">
            <v>170</v>
          </cell>
        </row>
        <row r="178">
          <cell r="B178">
            <v>171</v>
          </cell>
        </row>
        <row r="179">
          <cell r="B179">
            <v>172</v>
          </cell>
        </row>
        <row r="180">
          <cell r="B180">
            <v>173</v>
          </cell>
        </row>
        <row r="181">
          <cell r="B181">
            <v>174</v>
          </cell>
        </row>
        <row r="182">
          <cell r="B182">
            <v>175</v>
          </cell>
        </row>
        <row r="183">
          <cell r="B183">
            <v>176</v>
          </cell>
        </row>
        <row r="184">
          <cell r="B184">
            <v>177</v>
          </cell>
        </row>
        <row r="185">
          <cell r="B185">
            <v>178</v>
          </cell>
        </row>
        <row r="186">
          <cell r="B186">
            <v>179</v>
          </cell>
        </row>
        <row r="187">
          <cell r="B187">
            <v>180</v>
          </cell>
        </row>
        <row r="188">
          <cell r="B188">
            <v>181</v>
          </cell>
        </row>
        <row r="189">
          <cell r="B189">
            <v>182</v>
          </cell>
        </row>
        <row r="190">
          <cell r="B190">
            <v>183</v>
          </cell>
        </row>
        <row r="191">
          <cell r="B191">
            <v>184</v>
          </cell>
        </row>
        <row r="192">
          <cell r="B192">
            <v>185</v>
          </cell>
        </row>
        <row r="193">
          <cell r="B193">
            <v>186</v>
          </cell>
        </row>
        <row r="194">
          <cell r="B194">
            <v>187</v>
          </cell>
        </row>
        <row r="195">
          <cell r="B195">
            <v>188</v>
          </cell>
        </row>
        <row r="196">
          <cell r="B196">
            <v>189</v>
          </cell>
        </row>
        <row r="197">
          <cell r="B197">
            <v>190</v>
          </cell>
        </row>
        <row r="198">
          <cell r="B198">
            <v>191</v>
          </cell>
        </row>
        <row r="199">
          <cell r="B199">
            <v>192</v>
          </cell>
        </row>
        <row r="200">
          <cell r="B200">
            <v>193</v>
          </cell>
        </row>
        <row r="201">
          <cell r="B201">
            <v>194</v>
          </cell>
        </row>
        <row r="202">
          <cell r="B202">
            <v>195</v>
          </cell>
        </row>
        <row r="203">
          <cell r="B203">
            <v>196</v>
          </cell>
        </row>
        <row r="204">
          <cell r="B204">
            <v>197</v>
          </cell>
        </row>
        <row r="205">
          <cell r="B205">
            <v>198</v>
          </cell>
        </row>
        <row r="206">
          <cell r="B206">
            <v>199</v>
          </cell>
        </row>
        <row r="207">
          <cell r="B207">
            <v>200</v>
          </cell>
        </row>
        <row r="208">
          <cell r="B208">
            <v>201</v>
          </cell>
        </row>
        <row r="209">
          <cell r="B209">
            <v>202</v>
          </cell>
        </row>
        <row r="210">
          <cell r="B210">
            <v>203</v>
          </cell>
        </row>
        <row r="211">
          <cell r="B211">
            <v>204</v>
          </cell>
        </row>
        <row r="212">
          <cell r="B212">
            <v>205</v>
          </cell>
        </row>
        <row r="213">
          <cell r="B213">
            <v>206</v>
          </cell>
        </row>
        <row r="214">
          <cell r="B214">
            <v>207</v>
          </cell>
        </row>
        <row r="215">
          <cell r="B215">
            <v>208</v>
          </cell>
        </row>
        <row r="216">
          <cell r="B216">
            <v>209</v>
          </cell>
        </row>
        <row r="217">
          <cell r="B217">
            <v>210</v>
          </cell>
        </row>
        <row r="218">
          <cell r="B218">
            <v>211</v>
          </cell>
        </row>
        <row r="219">
          <cell r="B219">
            <v>212</v>
          </cell>
        </row>
        <row r="220">
          <cell r="B220">
            <v>213</v>
          </cell>
        </row>
        <row r="221">
          <cell r="B221">
            <v>214</v>
          </cell>
        </row>
        <row r="222">
          <cell r="B222">
            <v>215</v>
          </cell>
        </row>
        <row r="223">
          <cell r="B223">
            <v>216</v>
          </cell>
        </row>
        <row r="224">
          <cell r="B224">
            <v>217</v>
          </cell>
        </row>
        <row r="225">
          <cell r="B225">
            <v>218</v>
          </cell>
        </row>
        <row r="226">
          <cell r="B226">
            <v>219</v>
          </cell>
        </row>
        <row r="227">
          <cell r="B227">
            <v>220</v>
          </cell>
        </row>
        <row r="228">
          <cell r="B228">
            <v>221</v>
          </cell>
        </row>
        <row r="229">
          <cell r="B229">
            <v>222</v>
          </cell>
        </row>
        <row r="230">
          <cell r="B230">
            <v>223</v>
          </cell>
        </row>
        <row r="231">
          <cell r="B231">
            <v>224</v>
          </cell>
        </row>
        <row r="232">
          <cell r="B232">
            <v>225</v>
          </cell>
        </row>
        <row r="233">
          <cell r="B233">
            <v>226</v>
          </cell>
        </row>
        <row r="234">
          <cell r="B234">
            <v>227</v>
          </cell>
        </row>
        <row r="235">
          <cell r="B235">
            <v>228</v>
          </cell>
        </row>
        <row r="236">
          <cell r="B236">
            <v>229</v>
          </cell>
        </row>
        <row r="237">
          <cell r="B237">
            <v>230</v>
          </cell>
        </row>
        <row r="238">
          <cell r="B238">
            <v>231</v>
          </cell>
        </row>
        <row r="239">
          <cell r="B239">
            <v>232</v>
          </cell>
        </row>
        <row r="240">
          <cell r="B240">
            <v>233</v>
          </cell>
        </row>
        <row r="241">
          <cell r="B241">
            <v>234</v>
          </cell>
        </row>
        <row r="242">
          <cell r="B242">
            <v>235</v>
          </cell>
        </row>
        <row r="243">
          <cell r="B243">
            <v>236</v>
          </cell>
        </row>
        <row r="244">
          <cell r="B244">
            <v>237</v>
          </cell>
        </row>
        <row r="245">
          <cell r="B245">
            <v>238</v>
          </cell>
        </row>
        <row r="246">
          <cell r="B246">
            <v>239</v>
          </cell>
        </row>
        <row r="247">
          <cell r="B247">
            <v>240</v>
          </cell>
        </row>
        <row r="248">
          <cell r="B248">
            <v>241</v>
          </cell>
        </row>
        <row r="249">
          <cell r="B249">
            <v>242</v>
          </cell>
        </row>
        <row r="250">
          <cell r="B250">
            <v>243</v>
          </cell>
        </row>
        <row r="251">
          <cell r="B251">
            <v>244</v>
          </cell>
        </row>
        <row r="252">
          <cell r="B252">
            <v>245</v>
          </cell>
        </row>
        <row r="253">
          <cell r="B253">
            <v>246</v>
          </cell>
        </row>
        <row r="254">
          <cell r="B254">
            <v>247</v>
          </cell>
        </row>
        <row r="255">
          <cell r="B255">
            <v>248</v>
          </cell>
        </row>
        <row r="256">
          <cell r="B256">
            <v>249</v>
          </cell>
        </row>
        <row r="257">
          <cell r="B257">
            <v>250</v>
          </cell>
        </row>
        <row r="258">
          <cell r="B258">
            <v>251</v>
          </cell>
        </row>
        <row r="259">
          <cell r="B259">
            <v>252</v>
          </cell>
        </row>
        <row r="260">
          <cell r="B260">
            <v>253</v>
          </cell>
        </row>
        <row r="261">
          <cell r="B261">
            <v>254</v>
          </cell>
        </row>
        <row r="262">
          <cell r="B262">
            <v>255</v>
          </cell>
        </row>
        <row r="263">
          <cell r="B263">
            <v>256</v>
          </cell>
        </row>
        <row r="264">
          <cell r="B264">
            <v>257</v>
          </cell>
        </row>
        <row r="265">
          <cell r="B265">
            <v>258</v>
          </cell>
        </row>
        <row r="266">
          <cell r="B266">
            <v>259</v>
          </cell>
        </row>
        <row r="267">
          <cell r="B267">
            <v>260</v>
          </cell>
        </row>
        <row r="268">
          <cell r="B268">
            <v>261</v>
          </cell>
        </row>
        <row r="269">
          <cell r="B269">
            <v>262</v>
          </cell>
        </row>
        <row r="270">
          <cell r="B270">
            <v>263</v>
          </cell>
        </row>
        <row r="271">
          <cell r="B271">
            <v>264</v>
          </cell>
        </row>
        <row r="272">
          <cell r="B272">
            <v>265</v>
          </cell>
        </row>
        <row r="273">
          <cell r="B273">
            <v>266</v>
          </cell>
        </row>
        <row r="274">
          <cell r="B274">
            <v>267</v>
          </cell>
        </row>
        <row r="275">
          <cell r="B275">
            <v>268</v>
          </cell>
        </row>
        <row r="276">
          <cell r="B276">
            <v>269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mum"/>
      <sheetName val="Cover"/>
      <sheetName val="Validasi"/>
      <sheetName val="PPUSY"/>
      <sheetName val="Surat Pernyataan (TH)"/>
      <sheetName val="Surat Pernyataan (TW)"/>
      <sheetName val="Pernyataan DPS"/>
      <sheetName val="PPSAUSY"/>
      <sheetName val="PPUAUS"/>
      <sheetName val="RPPAUS-1"/>
      <sheetName val="RPPAUS-2"/>
      <sheetName val="LPKSY"/>
      <sheetName val="LKKUS"/>
      <sheetName val="LAKSY"/>
      <sheetName val="LPDS"/>
      <sheetName val="DPUS"/>
      <sheetName val="DPUS-1"/>
      <sheetName val="DTUS"/>
      <sheetName val="DTUS-1"/>
      <sheetName val="DIPUS"/>
      <sheetName val="DIPUS-2"/>
      <sheetName val="RPTSAUS"/>
      <sheetName val="RIKSTSU"/>
      <sheetName val="RKUS"/>
      <sheetName val="RKRKAUS"/>
      <sheetName val="RKRAUS"/>
      <sheetName val="RKLAUS"/>
      <sheetName val="RPSYA"/>
      <sheetName val="RPAS"/>
      <sheetName val="RPSB"/>
      <sheetName val="RPSC"/>
      <sheetName val="RSAS"/>
      <sheetName val="RSAS1"/>
      <sheetName val="RSAS2"/>
      <sheetName val="RSAS3"/>
      <sheetName val="RSAS4"/>
      <sheetName val="RSOS"/>
      <sheetName val="RA110"/>
      <sheetName val="RA120"/>
      <sheetName val="RA130"/>
      <sheetName val="RA210"/>
      <sheetName val="RA220-"/>
      <sheetName val="RA221"/>
      <sheetName val="RA222"/>
      <sheetName val="RA310"/>
      <sheetName val="RA310-1"/>
      <sheetName val="RB110"/>
      <sheetName val="RC110"/>
      <sheetName val="RD110"/>
      <sheetName val="RD-120"/>
      <sheetName val="Kriteria Kep Asing"/>
      <sheetName val="% Kep 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"/>
      <sheetName val="kartu"/>
      <sheetName val="lunas"/>
      <sheetName val="jurnal"/>
    </sheetNames>
    <sheetDataSet>
      <sheetData sheetId="0">
        <row r="8">
          <cell r="B8">
            <v>1</v>
          </cell>
        </row>
        <row r="9">
          <cell r="B9">
            <v>2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5</v>
          </cell>
        </row>
        <row r="13">
          <cell r="B13">
            <v>6</v>
          </cell>
        </row>
        <row r="14">
          <cell r="B14">
            <v>7</v>
          </cell>
        </row>
        <row r="15">
          <cell r="B15">
            <v>8</v>
          </cell>
        </row>
        <row r="16">
          <cell r="B16">
            <v>9</v>
          </cell>
        </row>
        <row r="17">
          <cell r="B17">
            <v>10</v>
          </cell>
        </row>
        <row r="18">
          <cell r="B18">
            <v>11</v>
          </cell>
        </row>
        <row r="19">
          <cell r="B19">
            <v>12</v>
          </cell>
        </row>
        <row r="20">
          <cell r="B20">
            <v>13</v>
          </cell>
        </row>
        <row r="21">
          <cell r="B21">
            <v>14</v>
          </cell>
        </row>
        <row r="22">
          <cell r="B22">
            <v>15</v>
          </cell>
        </row>
        <row r="23">
          <cell r="B23">
            <v>16</v>
          </cell>
        </row>
        <row r="24">
          <cell r="B24">
            <v>17</v>
          </cell>
        </row>
        <row r="25">
          <cell r="B25">
            <v>18</v>
          </cell>
        </row>
        <row r="26">
          <cell r="B26">
            <v>19</v>
          </cell>
        </row>
        <row r="27">
          <cell r="B27">
            <v>20</v>
          </cell>
        </row>
        <row r="28">
          <cell r="B28">
            <v>21</v>
          </cell>
        </row>
        <row r="29">
          <cell r="B29">
            <v>22</v>
          </cell>
        </row>
        <row r="30">
          <cell r="B30">
            <v>23</v>
          </cell>
        </row>
        <row r="31">
          <cell r="B31">
            <v>24</v>
          </cell>
        </row>
        <row r="32">
          <cell r="B32">
            <v>25</v>
          </cell>
        </row>
        <row r="33">
          <cell r="B33">
            <v>26</v>
          </cell>
        </row>
        <row r="34">
          <cell r="B34">
            <v>27</v>
          </cell>
        </row>
        <row r="35">
          <cell r="B35">
            <v>28</v>
          </cell>
        </row>
        <row r="36">
          <cell r="B36">
            <v>29</v>
          </cell>
        </row>
        <row r="37">
          <cell r="B37">
            <v>30</v>
          </cell>
        </row>
        <row r="38">
          <cell r="B38">
            <v>31</v>
          </cell>
        </row>
        <row r="39">
          <cell r="B39">
            <v>32</v>
          </cell>
        </row>
        <row r="40">
          <cell r="B40">
            <v>33</v>
          </cell>
        </row>
        <row r="41">
          <cell r="B41">
            <v>34</v>
          </cell>
        </row>
        <row r="42">
          <cell r="B42">
            <v>35</v>
          </cell>
        </row>
        <row r="43">
          <cell r="B43">
            <v>36</v>
          </cell>
        </row>
        <row r="44">
          <cell r="B44">
            <v>37</v>
          </cell>
        </row>
        <row r="45">
          <cell r="B45">
            <v>38</v>
          </cell>
        </row>
        <row r="46">
          <cell r="B46">
            <v>39</v>
          </cell>
        </row>
        <row r="47">
          <cell r="B47">
            <v>40</v>
          </cell>
        </row>
        <row r="48">
          <cell r="B48">
            <v>41</v>
          </cell>
        </row>
        <row r="49">
          <cell r="B49">
            <v>42</v>
          </cell>
        </row>
        <row r="50">
          <cell r="B50">
            <v>43</v>
          </cell>
        </row>
        <row r="51">
          <cell r="B51">
            <v>44</v>
          </cell>
        </row>
        <row r="52">
          <cell r="B52">
            <v>45</v>
          </cell>
        </row>
        <row r="53">
          <cell r="B53">
            <v>46</v>
          </cell>
        </row>
        <row r="54">
          <cell r="B54">
            <v>47</v>
          </cell>
        </row>
        <row r="55">
          <cell r="B55">
            <v>48</v>
          </cell>
        </row>
        <row r="56">
          <cell r="B56">
            <v>49</v>
          </cell>
        </row>
        <row r="57">
          <cell r="B57">
            <v>50</v>
          </cell>
        </row>
        <row r="58">
          <cell r="B58">
            <v>51</v>
          </cell>
        </row>
        <row r="59">
          <cell r="B59">
            <v>52</v>
          </cell>
        </row>
        <row r="60">
          <cell r="B60">
            <v>53</v>
          </cell>
        </row>
        <row r="61">
          <cell r="B61">
            <v>54</v>
          </cell>
        </row>
        <row r="62">
          <cell r="B62">
            <v>55</v>
          </cell>
        </row>
        <row r="63">
          <cell r="B63">
            <v>56</v>
          </cell>
        </row>
        <row r="64">
          <cell r="B64">
            <v>57</v>
          </cell>
        </row>
        <row r="65">
          <cell r="B65">
            <v>58</v>
          </cell>
        </row>
        <row r="66">
          <cell r="B66">
            <v>59</v>
          </cell>
        </row>
        <row r="67">
          <cell r="B67">
            <v>60</v>
          </cell>
        </row>
        <row r="68">
          <cell r="B68">
            <v>61</v>
          </cell>
        </row>
        <row r="69">
          <cell r="B69">
            <v>62</v>
          </cell>
        </row>
        <row r="70">
          <cell r="B70">
            <v>63</v>
          </cell>
        </row>
        <row r="71">
          <cell r="B71">
            <v>64</v>
          </cell>
        </row>
        <row r="72">
          <cell r="B72">
            <v>65</v>
          </cell>
        </row>
        <row r="73">
          <cell r="B73">
            <v>66</v>
          </cell>
        </row>
        <row r="74">
          <cell r="B74">
            <v>67</v>
          </cell>
        </row>
        <row r="75">
          <cell r="B75">
            <v>68</v>
          </cell>
        </row>
        <row r="76">
          <cell r="B76">
            <v>69</v>
          </cell>
        </row>
        <row r="77">
          <cell r="B77">
            <v>70</v>
          </cell>
        </row>
        <row r="78">
          <cell r="B78">
            <v>71</v>
          </cell>
        </row>
        <row r="79">
          <cell r="B79">
            <v>72</v>
          </cell>
        </row>
        <row r="80">
          <cell r="B80">
            <v>73</v>
          </cell>
        </row>
        <row r="81">
          <cell r="B81">
            <v>74</v>
          </cell>
        </row>
        <row r="82">
          <cell r="B82">
            <v>75</v>
          </cell>
        </row>
        <row r="83">
          <cell r="B83">
            <v>76</v>
          </cell>
        </row>
        <row r="84">
          <cell r="B84">
            <v>77</v>
          </cell>
        </row>
        <row r="85">
          <cell r="B85">
            <v>78</v>
          </cell>
        </row>
        <row r="86">
          <cell r="B86">
            <v>79</v>
          </cell>
        </row>
        <row r="87">
          <cell r="B87">
            <v>80</v>
          </cell>
        </row>
        <row r="88">
          <cell r="B88">
            <v>81</v>
          </cell>
        </row>
        <row r="89">
          <cell r="B89">
            <v>82</v>
          </cell>
        </row>
        <row r="90">
          <cell r="B90">
            <v>83</v>
          </cell>
        </row>
        <row r="91">
          <cell r="B91">
            <v>84</v>
          </cell>
        </row>
        <row r="92">
          <cell r="B92">
            <v>85</v>
          </cell>
        </row>
        <row r="93">
          <cell r="B93">
            <v>86</v>
          </cell>
        </row>
        <row r="94">
          <cell r="B94">
            <v>87</v>
          </cell>
        </row>
        <row r="95">
          <cell r="B95">
            <v>88</v>
          </cell>
        </row>
        <row r="96">
          <cell r="B96">
            <v>89</v>
          </cell>
        </row>
        <row r="97">
          <cell r="B97">
            <v>90</v>
          </cell>
        </row>
        <row r="98">
          <cell r="B98">
            <v>91</v>
          </cell>
        </row>
        <row r="99">
          <cell r="B99">
            <v>92</v>
          </cell>
        </row>
        <row r="100">
          <cell r="B100">
            <v>93</v>
          </cell>
        </row>
        <row r="101">
          <cell r="B101">
            <v>94</v>
          </cell>
        </row>
        <row r="102">
          <cell r="B102">
            <v>95</v>
          </cell>
        </row>
        <row r="103">
          <cell r="B103">
            <v>96</v>
          </cell>
        </row>
        <row r="104">
          <cell r="B104">
            <v>97</v>
          </cell>
        </row>
        <row r="105">
          <cell r="B105">
            <v>98</v>
          </cell>
        </row>
        <row r="106">
          <cell r="B106">
            <v>99</v>
          </cell>
        </row>
        <row r="107">
          <cell r="B107">
            <v>100</v>
          </cell>
        </row>
        <row r="108">
          <cell r="B108">
            <v>101</v>
          </cell>
        </row>
        <row r="109">
          <cell r="B109">
            <v>102</v>
          </cell>
        </row>
        <row r="110">
          <cell r="B110">
            <v>103</v>
          </cell>
        </row>
        <row r="111">
          <cell r="B111">
            <v>104</v>
          </cell>
        </row>
        <row r="112">
          <cell r="B112">
            <v>105</v>
          </cell>
        </row>
        <row r="113">
          <cell r="B113">
            <v>106</v>
          </cell>
        </row>
        <row r="114">
          <cell r="B114">
            <v>107</v>
          </cell>
        </row>
        <row r="115">
          <cell r="B115">
            <v>108</v>
          </cell>
        </row>
        <row r="116">
          <cell r="B116">
            <v>109</v>
          </cell>
        </row>
        <row r="117">
          <cell r="B117">
            <v>110</v>
          </cell>
        </row>
        <row r="118">
          <cell r="B118">
            <v>111</v>
          </cell>
        </row>
        <row r="119">
          <cell r="B119">
            <v>112</v>
          </cell>
        </row>
        <row r="120">
          <cell r="B120">
            <v>113</v>
          </cell>
        </row>
        <row r="121">
          <cell r="B121">
            <v>114</v>
          </cell>
        </row>
        <row r="122">
          <cell r="B122">
            <v>115</v>
          </cell>
        </row>
        <row r="123">
          <cell r="B123">
            <v>116</v>
          </cell>
        </row>
        <row r="124">
          <cell r="B124">
            <v>117</v>
          </cell>
        </row>
        <row r="125">
          <cell r="B125">
            <v>118</v>
          </cell>
        </row>
        <row r="126">
          <cell r="B126">
            <v>119</v>
          </cell>
        </row>
        <row r="127">
          <cell r="B127">
            <v>120</v>
          </cell>
        </row>
        <row r="128">
          <cell r="B128">
            <v>121</v>
          </cell>
        </row>
        <row r="129">
          <cell r="B129">
            <v>122</v>
          </cell>
        </row>
        <row r="130">
          <cell r="B130">
            <v>123</v>
          </cell>
        </row>
        <row r="131">
          <cell r="B131">
            <v>124</v>
          </cell>
        </row>
        <row r="132">
          <cell r="B132">
            <v>125</v>
          </cell>
        </row>
        <row r="133">
          <cell r="B133">
            <v>126</v>
          </cell>
        </row>
        <row r="134">
          <cell r="B134">
            <v>127</v>
          </cell>
        </row>
        <row r="135">
          <cell r="B135">
            <v>128</v>
          </cell>
        </row>
        <row r="136">
          <cell r="B136">
            <v>129</v>
          </cell>
        </row>
        <row r="137">
          <cell r="B137">
            <v>130</v>
          </cell>
        </row>
        <row r="138">
          <cell r="B138">
            <v>131</v>
          </cell>
        </row>
        <row r="139">
          <cell r="B139">
            <v>132</v>
          </cell>
        </row>
        <row r="140">
          <cell r="B140">
            <v>133</v>
          </cell>
        </row>
        <row r="141">
          <cell r="B141">
            <v>134</v>
          </cell>
        </row>
        <row r="142">
          <cell r="B142">
            <v>135</v>
          </cell>
        </row>
        <row r="143">
          <cell r="B143">
            <v>136</v>
          </cell>
        </row>
        <row r="144">
          <cell r="B144">
            <v>137</v>
          </cell>
        </row>
        <row r="145">
          <cell r="B145">
            <v>138</v>
          </cell>
        </row>
        <row r="146">
          <cell r="B146">
            <v>139</v>
          </cell>
        </row>
        <row r="147">
          <cell r="B147">
            <v>140</v>
          </cell>
        </row>
        <row r="148">
          <cell r="B148">
            <v>141</v>
          </cell>
        </row>
        <row r="149">
          <cell r="B149">
            <v>142</v>
          </cell>
        </row>
        <row r="150">
          <cell r="B150">
            <v>143</v>
          </cell>
        </row>
        <row r="151">
          <cell r="B151">
            <v>144</v>
          </cell>
        </row>
        <row r="152">
          <cell r="B152">
            <v>145</v>
          </cell>
        </row>
        <row r="153">
          <cell r="B153">
            <v>146</v>
          </cell>
        </row>
        <row r="154">
          <cell r="B154">
            <v>147</v>
          </cell>
        </row>
        <row r="155">
          <cell r="B155">
            <v>148</v>
          </cell>
        </row>
        <row r="156">
          <cell r="B156">
            <v>149</v>
          </cell>
        </row>
        <row r="157">
          <cell r="B157">
            <v>150</v>
          </cell>
        </row>
        <row r="158">
          <cell r="B158">
            <v>151</v>
          </cell>
        </row>
        <row r="159">
          <cell r="B159">
            <v>152</v>
          </cell>
        </row>
        <row r="160">
          <cell r="B160">
            <v>153</v>
          </cell>
        </row>
        <row r="161">
          <cell r="B161">
            <v>154</v>
          </cell>
        </row>
        <row r="162">
          <cell r="B162">
            <v>155</v>
          </cell>
        </row>
        <row r="163">
          <cell r="B163">
            <v>156</v>
          </cell>
        </row>
        <row r="164">
          <cell r="B164">
            <v>157</v>
          </cell>
        </row>
        <row r="165">
          <cell r="B165">
            <v>158</v>
          </cell>
        </row>
        <row r="166">
          <cell r="B166">
            <v>159</v>
          </cell>
        </row>
        <row r="167">
          <cell r="B167">
            <v>160</v>
          </cell>
        </row>
        <row r="168">
          <cell r="B168">
            <v>161</v>
          </cell>
        </row>
        <row r="169">
          <cell r="B169">
            <v>162</v>
          </cell>
        </row>
        <row r="170">
          <cell r="B170">
            <v>163</v>
          </cell>
        </row>
        <row r="171">
          <cell r="B171">
            <v>164</v>
          </cell>
        </row>
        <row r="172">
          <cell r="B172">
            <v>165</v>
          </cell>
        </row>
        <row r="173">
          <cell r="B173">
            <v>166</v>
          </cell>
        </row>
        <row r="174">
          <cell r="B174">
            <v>167</v>
          </cell>
        </row>
        <row r="175">
          <cell r="B175">
            <v>168</v>
          </cell>
        </row>
        <row r="176">
          <cell r="B176">
            <v>169</v>
          </cell>
        </row>
        <row r="177">
          <cell r="B177">
            <v>170</v>
          </cell>
        </row>
        <row r="178">
          <cell r="B178">
            <v>171</v>
          </cell>
        </row>
        <row r="179">
          <cell r="B179">
            <v>172</v>
          </cell>
        </row>
        <row r="180">
          <cell r="B180">
            <v>173</v>
          </cell>
        </row>
        <row r="181">
          <cell r="B181">
            <v>174</v>
          </cell>
        </row>
        <row r="182">
          <cell r="B182">
            <v>175</v>
          </cell>
        </row>
        <row r="183">
          <cell r="B183">
            <v>176</v>
          </cell>
        </row>
        <row r="184">
          <cell r="B184">
            <v>177</v>
          </cell>
        </row>
        <row r="185">
          <cell r="B185">
            <v>178</v>
          </cell>
        </row>
        <row r="186">
          <cell r="B186">
            <v>179</v>
          </cell>
        </row>
        <row r="187">
          <cell r="B187">
            <v>180</v>
          </cell>
        </row>
        <row r="188">
          <cell r="B188">
            <v>181</v>
          </cell>
        </row>
        <row r="189">
          <cell r="B189">
            <v>182</v>
          </cell>
        </row>
        <row r="190">
          <cell r="B190">
            <v>183</v>
          </cell>
        </row>
        <row r="191">
          <cell r="B191">
            <v>184</v>
          </cell>
        </row>
        <row r="192">
          <cell r="B192">
            <v>185</v>
          </cell>
        </row>
        <row r="193">
          <cell r="B193">
            <v>186</v>
          </cell>
        </row>
        <row r="194">
          <cell r="B194">
            <v>187</v>
          </cell>
        </row>
        <row r="195">
          <cell r="B195">
            <v>188</v>
          </cell>
        </row>
        <row r="196">
          <cell r="B196">
            <v>189</v>
          </cell>
        </row>
        <row r="197">
          <cell r="B197">
            <v>190</v>
          </cell>
        </row>
        <row r="198">
          <cell r="B198">
            <v>191</v>
          </cell>
        </row>
        <row r="199">
          <cell r="B199">
            <v>192</v>
          </cell>
        </row>
        <row r="200">
          <cell r="B200">
            <v>193</v>
          </cell>
        </row>
        <row r="201">
          <cell r="B201">
            <v>194</v>
          </cell>
        </row>
        <row r="202">
          <cell r="B202">
            <v>195</v>
          </cell>
        </row>
        <row r="203">
          <cell r="B203">
            <v>196</v>
          </cell>
        </row>
        <row r="204">
          <cell r="B204">
            <v>197</v>
          </cell>
        </row>
        <row r="205">
          <cell r="B205">
            <v>198</v>
          </cell>
        </row>
        <row r="206">
          <cell r="B206">
            <v>199</v>
          </cell>
        </row>
        <row r="207">
          <cell r="B207">
            <v>200</v>
          </cell>
        </row>
        <row r="208">
          <cell r="B208">
            <v>201</v>
          </cell>
        </row>
        <row r="209">
          <cell r="B209">
            <v>202</v>
          </cell>
        </row>
        <row r="210">
          <cell r="B210">
            <v>203</v>
          </cell>
        </row>
        <row r="211">
          <cell r="B211">
            <v>204</v>
          </cell>
        </row>
        <row r="212">
          <cell r="B212">
            <v>205</v>
          </cell>
        </row>
        <row r="213">
          <cell r="B213">
            <v>206</v>
          </cell>
        </row>
        <row r="214">
          <cell r="B214">
            <v>207</v>
          </cell>
        </row>
        <row r="215">
          <cell r="B215">
            <v>208</v>
          </cell>
        </row>
        <row r="216">
          <cell r="B216">
            <v>209</v>
          </cell>
        </row>
        <row r="217">
          <cell r="B217">
            <v>210</v>
          </cell>
        </row>
        <row r="218">
          <cell r="B218">
            <v>211</v>
          </cell>
        </row>
        <row r="219">
          <cell r="B219">
            <v>212</v>
          </cell>
        </row>
        <row r="220">
          <cell r="B220">
            <v>213</v>
          </cell>
        </row>
        <row r="221">
          <cell r="B221">
            <v>214</v>
          </cell>
        </row>
        <row r="222">
          <cell r="B222">
            <v>215</v>
          </cell>
        </row>
        <row r="223">
          <cell r="B223">
            <v>216</v>
          </cell>
        </row>
        <row r="224">
          <cell r="B224">
            <v>217</v>
          </cell>
        </row>
        <row r="225">
          <cell r="B225">
            <v>218</v>
          </cell>
        </row>
        <row r="226">
          <cell r="B226">
            <v>219</v>
          </cell>
        </row>
        <row r="227">
          <cell r="B227">
            <v>220</v>
          </cell>
        </row>
        <row r="228">
          <cell r="B228">
            <v>221</v>
          </cell>
        </row>
        <row r="229">
          <cell r="B229">
            <v>222</v>
          </cell>
        </row>
        <row r="230">
          <cell r="B230">
            <v>223</v>
          </cell>
        </row>
        <row r="231">
          <cell r="B231">
            <v>224</v>
          </cell>
        </row>
        <row r="232">
          <cell r="B232">
            <v>225</v>
          </cell>
        </row>
        <row r="233">
          <cell r="B233">
            <v>226</v>
          </cell>
        </row>
        <row r="234">
          <cell r="B234">
            <v>227</v>
          </cell>
        </row>
        <row r="235">
          <cell r="B235">
            <v>228</v>
          </cell>
        </row>
        <row r="236">
          <cell r="B236">
            <v>229</v>
          </cell>
        </row>
        <row r="237">
          <cell r="B237">
            <v>230</v>
          </cell>
        </row>
        <row r="238">
          <cell r="B238">
            <v>231</v>
          </cell>
        </row>
        <row r="239">
          <cell r="B239">
            <v>232</v>
          </cell>
        </row>
        <row r="240">
          <cell r="B240">
            <v>233</v>
          </cell>
        </row>
        <row r="241">
          <cell r="B241">
            <v>234</v>
          </cell>
        </row>
        <row r="242">
          <cell r="B242">
            <v>235</v>
          </cell>
        </row>
        <row r="243">
          <cell r="B243">
            <v>236</v>
          </cell>
        </row>
        <row r="244">
          <cell r="B244">
            <v>237</v>
          </cell>
        </row>
        <row r="245">
          <cell r="B245">
            <v>238</v>
          </cell>
        </row>
        <row r="246">
          <cell r="B246">
            <v>239</v>
          </cell>
        </row>
        <row r="247">
          <cell r="B247">
            <v>240</v>
          </cell>
        </row>
        <row r="248">
          <cell r="B248">
            <v>241</v>
          </cell>
        </row>
        <row r="249">
          <cell r="B249">
            <v>242</v>
          </cell>
        </row>
        <row r="250">
          <cell r="B250">
            <v>243</v>
          </cell>
        </row>
        <row r="251">
          <cell r="B251">
            <v>244</v>
          </cell>
        </row>
        <row r="252">
          <cell r="B252">
            <v>245</v>
          </cell>
        </row>
        <row r="253">
          <cell r="B253">
            <v>246</v>
          </cell>
        </row>
        <row r="254">
          <cell r="B254">
            <v>247</v>
          </cell>
        </row>
        <row r="255">
          <cell r="B255">
            <v>248</v>
          </cell>
        </row>
        <row r="256">
          <cell r="B256">
            <v>249</v>
          </cell>
        </row>
        <row r="257">
          <cell r="B257">
            <v>250</v>
          </cell>
        </row>
        <row r="258">
          <cell r="B258">
            <v>251</v>
          </cell>
        </row>
        <row r="259">
          <cell r="B259">
            <v>252</v>
          </cell>
        </row>
        <row r="260">
          <cell r="B260">
            <v>253</v>
          </cell>
        </row>
        <row r="261">
          <cell r="B261">
            <v>254</v>
          </cell>
        </row>
        <row r="262">
          <cell r="B262">
            <v>255</v>
          </cell>
        </row>
        <row r="263">
          <cell r="B263">
            <v>256</v>
          </cell>
        </row>
        <row r="264">
          <cell r="B264">
            <v>257</v>
          </cell>
        </row>
        <row r="265">
          <cell r="B265">
            <v>258</v>
          </cell>
        </row>
        <row r="266">
          <cell r="B266">
            <v>259</v>
          </cell>
        </row>
        <row r="267">
          <cell r="B267">
            <v>260</v>
          </cell>
        </row>
        <row r="268">
          <cell r="B268">
            <v>261</v>
          </cell>
        </row>
        <row r="269">
          <cell r="B269">
            <v>262</v>
          </cell>
        </row>
        <row r="270">
          <cell r="B270">
            <v>263</v>
          </cell>
        </row>
        <row r="271">
          <cell r="B271">
            <v>264</v>
          </cell>
        </row>
        <row r="272">
          <cell r="B272">
            <v>265</v>
          </cell>
        </row>
        <row r="273">
          <cell r="B273">
            <v>266</v>
          </cell>
        </row>
        <row r="274">
          <cell r="B274">
            <v>267</v>
          </cell>
        </row>
        <row r="275">
          <cell r="B275">
            <v>268</v>
          </cell>
        </row>
        <row r="276">
          <cell r="B276">
            <v>269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K"/>
      <sheetName val="LRK"/>
      <sheetName val="Arus Kas"/>
      <sheetName val="LPE"/>
      <sheetName val="Rasio"/>
      <sheetName val="Risiko Kredit"/>
      <sheetName val="Risiko Kredit (a)"/>
      <sheetName val="Risiko Kredit (b)"/>
      <sheetName val="Risiko Likuiditas"/>
      <sheetName val="Risiko Pasar"/>
      <sheetName val="Risiko Pasar (a)"/>
      <sheetName val="Risiko Pasar (b)"/>
      <sheetName val="Risiko Pasar (c)"/>
      <sheetName val="Risiko Asuransi"/>
      <sheetName val="Risiko Opr"/>
      <sheetName val="Pemisahan"/>
      <sheetName val="Perhitungan AYD"/>
      <sheetName val="Sub A"/>
      <sheetName val="Sub B "/>
      <sheetName val="Sub C "/>
      <sheetName val="Sub D  "/>
      <sheetName val="Sub E "/>
    </sheetNames>
    <sheetDataSet>
      <sheetData sheetId="0">
        <row r="2">
          <cell r="B2" t="str">
            <v>PT. XYZ</v>
          </cell>
        </row>
        <row r="6">
          <cell r="B6" t="str">
            <v>Per …. dan Per ….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_AXIS"/>
      <sheetName val="Result"/>
      <sheetName val="Data_Ind"/>
      <sheetName val="Report"/>
      <sheetName val="Y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1003"/>
      <sheetName val="lapse"/>
      <sheetName val="data"/>
      <sheetName val="result"/>
      <sheetName val="Summary"/>
      <sheetName val="Summary_detail"/>
      <sheetName val="Chart"/>
      <sheetName val="Sheet3"/>
      <sheetName val="F1771-2"/>
      <sheetName val="Search for Unrecorded Liabilty"/>
      <sheetName val="bal sheet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POLNO</v>
          </cell>
          <cell r="B3" t="str">
            <v>CODE</v>
          </cell>
          <cell r="C3" t="str">
            <v>PLAN</v>
          </cell>
          <cell r="D3" t="str">
            <v>CURR</v>
          </cell>
          <cell r="E3" t="str">
            <v>AGE</v>
          </cell>
          <cell r="F3" t="str">
            <v>SEX</v>
          </cell>
          <cell r="G3" t="str">
            <v>RCD</v>
          </cell>
          <cell r="H3" t="str">
            <v>MODE</v>
          </cell>
          <cell r="I3" t="str">
            <v>SUMINS</v>
          </cell>
          <cell r="J3" t="str">
            <v>INSPREM1</v>
          </cell>
          <cell r="K3" t="str">
            <v>INSPREM2</v>
          </cell>
          <cell r="L3" t="str">
            <v>API</v>
          </cell>
          <cell r="M3" t="str">
            <v>PREMTERM</v>
          </cell>
          <cell r="N3" t="str">
            <v>DURR</v>
          </cell>
          <cell r="O3" t="str">
            <v>SI_ADDB</v>
          </cell>
          <cell r="P3" t="str">
            <v>API_ADDB</v>
          </cell>
          <cell r="Q3" t="str">
            <v>SI_PPB</v>
          </cell>
          <cell r="R3" t="str">
            <v>API_PPB</v>
          </cell>
          <cell r="T3" t="str">
            <v>API1_WP</v>
          </cell>
          <cell r="U3" t="str">
            <v>API2_WP</v>
          </cell>
          <cell r="W3" t="str">
            <v>RES_BASE</v>
          </cell>
          <cell r="X3" t="str">
            <v>RES_ADDB</v>
          </cell>
          <cell r="Y3" t="str">
            <v>RES_PPB</v>
          </cell>
          <cell r="Z3" t="str">
            <v>RES_WP</v>
          </cell>
          <cell r="AB3" t="str">
            <v>NP_BASE</v>
          </cell>
          <cell r="AC3" t="str">
            <v>NP_ADDB</v>
          </cell>
          <cell r="AD3" t="str">
            <v>NP_PPB</v>
          </cell>
          <cell r="AE3" t="str">
            <v>NP_WP</v>
          </cell>
          <cell r="AH3" t="str">
            <v>PERIOD</v>
          </cell>
          <cell r="AI3" t="str">
            <v>FOR INTERP</v>
          </cell>
          <cell r="AJ3" t="str">
            <v>INTERP</v>
          </cell>
          <cell r="AK3" t="str">
            <v>NSP</v>
          </cell>
          <cell r="AL3" t="str">
            <v>V0</v>
          </cell>
          <cell r="AM3" t="str">
            <v>V1</v>
          </cell>
          <cell r="AN3" t="str">
            <v>V2</v>
          </cell>
          <cell r="AO3" t="str">
            <v>V3</v>
          </cell>
          <cell r="AP3" t="str">
            <v>V4</v>
          </cell>
          <cell r="AQ3" t="str">
            <v>V5</v>
          </cell>
          <cell r="AR3" t="str">
            <v>V6</v>
          </cell>
          <cell r="AS3" t="str">
            <v>V7</v>
          </cell>
          <cell r="AT3" t="str">
            <v>V8</v>
          </cell>
          <cell r="AU3" t="str">
            <v>V9</v>
          </cell>
          <cell r="AW3" t="str">
            <v>PPB_INTERP</v>
          </cell>
          <cell r="AY3" t="str">
            <v>ADDB</v>
          </cell>
          <cell r="AZ3" t="str">
            <v>PPB</v>
          </cell>
          <cell r="BA3" t="str">
            <v>WP</v>
          </cell>
          <cell r="BC3" t="str">
            <v>DIV3</v>
          </cell>
          <cell r="BD3" t="str">
            <v>DIV4</v>
          </cell>
          <cell r="BE3" t="str">
            <v>DIV5</v>
          </cell>
          <cell r="BF3" t="str">
            <v>DIV6</v>
          </cell>
          <cell r="BG3" t="str">
            <v>DIV7</v>
          </cell>
          <cell r="BH3" t="str">
            <v>DIV8</v>
          </cell>
          <cell r="BI3" t="str">
            <v>DIV9</v>
          </cell>
          <cell r="BJ3" t="str">
            <v>DIV10</v>
          </cell>
          <cell r="BL3" t="str">
            <v>BONUS</v>
          </cell>
        </row>
        <row r="4">
          <cell r="A4">
            <v>10001219</v>
          </cell>
          <cell r="B4">
            <v>0</v>
          </cell>
          <cell r="C4" t="str">
            <v>LSG</v>
          </cell>
          <cell r="D4" t="str">
            <v>USD</v>
          </cell>
          <cell r="E4">
            <v>37</v>
          </cell>
          <cell r="F4" t="str">
            <v>F</v>
          </cell>
          <cell r="G4">
            <v>35244</v>
          </cell>
          <cell r="H4">
            <v>1</v>
          </cell>
          <cell r="I4">
            <v>10000</v>
          </cell>
          <cell r="J4">
            <v>1255.25</v>
          </cell>
          <cell r="K4">
            <v>191</v>
          </cell>
          <cell r="L4">
            <v>191</v>
          </cell>
          <cell r="M4">
            <v>20</v>
          </cell>
          <cell r="N4">
            <v>48</v>
          </cell>
          <cell r="O4">
            <v>10000</v>
          </cell>
          <cell r="P4">
            <v>15</v>
          </cell>
          <cell r="Q4">
            <v>0</v>
          </cell>
          <cell r="R4">
            <v>0</v>
          </cell>
          <cell r="T4">
            <v>53.34</v>
          </cell>
          <cell r="U4">
            <v>8.4000000000000092</v>
          </cell>
          <cell r="W4">
            <v>1825.9470207968725</v>
          </cell>
          <cell r="X4">
            <v>15</v>
          </cell>
          <cell r="Y4">
            <v>0</v>
          </cell>
          <cell r="Z4">
            <v>16.800000000000018</v>
          </cell>
          <cell r="AB4">
            <v>261.05273295989014</v>
          </cell>
          <cell r="AC4">
            <v>15</v>
          </cell>
          <cell r="AD4">
            <v>0</v>
          </cell>
          <cell r="AE4">
            <v>8.4000000000000092</v>
          </cell>
          <cell r="AH4">
            <v>88</v>
          </cell>
          <cell r="AI4">
            <v>84</v>
          </cell>
          <cell r="AJ4">
            <v>1</v>
          </cell>
          <cell r="AK4">
            <v>2.6105273295989013E-2</v>
          </cell>
          <cell r="AL4">
            <v>0</v>
          </cell>
          <cell r="AM4">
            <v>0</v>
          </cell>
          <cell r="AN4">
            <v>2.443351821449502E-2</v>
          </cell>
          <cell r="AO4">
            <v>4.9392387165981377E-2</v>
          </cell>
          <cell r="AP4">
            <v>7.4882215931928398E-2</v>
          </cell>
          <cell r="AQ4">
            <v>0.100921308820831</v>
          </cell>
          <cell r="AR4">
            <v>0.12752985794822114</v>
          </cell>
          <cell r="AS4">
            <v>0.15474957579234183</v>
          </cell>
          <cell r="AT4">
            <v>0.18259470207968725</v>
          </cell>
          <cell r="AU4">
            <v>0.21110060244806764</v>
          </cell>
          <cell r="AW4">
            <v>0</v>
          </cell>
          <cell r="AY4">
            <v>1</v>
          </cell>
          <cell r="AZ4">
            <v>0</v>
          </cell>
          <cell r="BA4">
            <v>1</v>
          </cell>
          <cell r="BC4">
            <v>1.9844972008093236</v>
          </cell>
          <cell r="BD4">
            <v>2.6644121444703992</v>
          </cell>
          <cell r="BE4">
            <v>2.8761079310729616</v>
          </cell>
          <cell r="BF4">
            <v>3.1632553500037539</v>
          </cell>
          <cell r="BG4">
            <v>3.5310566551215059</v>
          </cell>
          <cell r="BH4">
            <v>3.9856608395959556</v>
          </cell>
          <cell r="BI4">
            <v>4.5331069336640084</v>
          </cell>
          <cell r="BJ4">
            <v>5.180475648780817</v>
          </cell>
          <cell r="BL4">
            <v>39.856608395959555</v>
          </cell>
        </row>
        <row r="5">
          <cell r="A5">
            <v>10001219</v>
          </cell>
          <cell r="B5">
            <v>1</v>
          </cell>
          <cell r="C5" t="str">
            <v>SSG</v>
          </cell>
          <cell r="D5" t="str">
            <v>USD</v>
          </cell>
          <cell r="E5">
            <v>37</v>
          </cell>
          <cell r="F5" t="str">
            <v>F</v>
          </cell>
          <cell r="G5">
            <v>35244</v>
          </cell>
          <cell r="H5">
            <v>1</v>
          </cell>
          <cell r="I5">
            <v>10000</v>
          </cell>
          <cell r="J5">
            <v>412</v>
          </cell>
          <cell r="K5">
            <v>412</v>
          </cell>
          <cell r="L5">
            <v>412</v>
          </cell>
          <cell r="M5">
            <v>20</v>
          </cell>
          <cell r="N5">
            <v>20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T5">
            <v>18.13</v>
          </cell>
          <cell r="U5">
            <v>18.13</v>
          </cell>
          <cell r="W5">
            <v>3072.0020088042484</v>
          </cell>
          <cell r="X5">
            <v>0</v>
          </cell>
          <cell r="Y5">
            <v>0</v>
          </cell>
          <cell r="Z5">
            <v>36.26</v>
          </cell>
          <cell r="AB5">
            <v>418.28816376642703</v>
          </cell>
          <cell r="AC5">
            <v>0</v>
          </cell>
          <cell r="AD5">
            <v>0</v>
          </cell>
          <cell r="AE5">
            <v>18.13</v>
          </cell>
          <cell r="AH5">
            <v>88</v>
          </cell>
          <cell r="AI5">
            <v>84</v>
          </cell>
          <cell r="AJ5">
            <v>1</v>
          </cell>
          <cell r="AK5">
            <v>4.1828816376642701E-2</v>
          </cell>
          <cell r="AL5">
            <v>0</v>
          </cell>
          <cell r="AM5">
            <v>0</v>
          </cell>
          <cell r="AN5">
            <v>4.0629129880643045E-2</v>
          </cell>
          <cell r="AO5">
            <v>8.2277054961999774E-2</v>
          </cell>
          <cell r="AP5">
            <v>0.124972891428065</v>
          </cell>
          <cell r="AQ5">
            <v>0.16875995813694522</v>
          </cell>
          <cell r="AR5">
            <v>0.21368526521660897</v>
          </cell>
          <cell r="AS5">
            <v>0.25981684482602602</v>
          </cell>
          <cell r="AT5">
            <v>0.30720020088042482</v>
          </cell>
          <cell r="AU5">
            <v>0.35590149033875051</v>
          </cell>
          <cell r="AW5">
            <v>0</v>
          </cell>
          <cell r="AY5">
            <v>0</v>
          </cell>
          <cell r="AZ5">
            <v>0</v>
          </cell>
          <cell r="BA5">
            <v>1</v>
          </cell>
          <cell r="BC5">
            <v>0.13964290001343621</v>
          </cell>
          <cell r="BD5">
            <v>0.3580751936728539</v>
          </cell>
          <cell r="BE5">
            <v>0.67516929554791538</v>
          </cell>
          <cell r="BF5">
            <v>1.1206430087889412</v>
          </cell>
          <cell r="BG5">
            <v>1.7061257142535657</v>
          </cell>
          <cell r="BH5">
            <v>2.4446326098377629</v>
          </cell>
          <cell r="BI5">
            <v>3.350136965134717</v>
          </cell>
          <cell r="BJ5">
            <v>4.438242005310399</v>
          </cell>
          <cell r="BL5">
            <v>24.446326098377629</v>
          </cell>
        </row>
        <row r="6">
          <cell r="A6">
            <v>10001219</v>
          </cell>
          <cell r="B6">
            <v>3</v>
          </cell>
          <cell r="C6" t="str">
            <v>CEG</v>
          </cell>
          <cell r="D6" t="str">
            <v>USD</v>
          </cell>
          <cell r="E6">
            <v>37</v>
          </cell>
          <cell r="F6" t="str">
            <v>F</v>
          </cell>
          <cell r="G6">
            <v>37070</v>
          </cell>
          <cell r="H6">
            <v>1</v>
          </cell>
          <cell r="I6">
            <v>3350</v>
          </cell>
          <cell r="J6">
            <v>652.25</v>
          </cell>
          <cell r="K6">
            <v>652.25</v>
          </cell>
          <cell r="L6">
            <v>652.25</v>
          </cell>
          <cell r="M6">
            <v>5</v>
          </cell>
          <cell r="N6">
            <v>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T6">
            <v>26.81</v>
          </cell>
          <cell r="U6">
            <v>26.81</v>
          </cell>
          <cell r="W6">
            <v>1858.3977080068612</v>
          </cell>
          <cell r="X6">
            <v>0</v>
          </cell>
          <cell r="Y6">
            <v>0</v>
          </cell>
          <cell r="Z6">
            <v>53.62</v>
          </cell>
          <cell r="AB6">
            <v>667.21491957329511</v>
          </cell>
          <cell r="AC6">
            <v>0</v>
          </cell>
          <cell r="AD6">
            <v>0</v>
          </cell>
          <cell r="AE6">
            <v>26.81</v>
          </cell>
          <cell r="AH6">
            <v>28</v>
          </cell>
          <cell r="AI6">
            <v>24</v>
          </cell>
          <cell r="AJ6">
            <v>1</v>
          </cell>
          <cell r="AK6">
            <v>0.19916863270844631</v>
          </cell>
          <cell r="AL6">
            <v>0</v>
          </cell>
          <cell r="AM6">
            <v>0.13481646586080087</v>
          </cell>
          <cell r="AN6">
            <v>0.34174876069925664</v>
          </cell>
          <cell r="AO6">
            <v>0.55474558447966005</v>
          </cell>
          <cell r="AP6">
            <v>0.77406737702391393</v>
          </cell>
          <cell r="AQ6">
            <v>1</v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W6">
            <v>0</v>
          </cell>
          <cell r="AY6">
            <v>0</v>
          </cell>
          <cell r="AZ6">
            <v>0</v>
          </cell>
          <cell r="BA6">
            <v>1</v>
          </cell>
          <cell r="BC6">
            <v>3.0480081195910049</v>
          </cell>
          <cell r="BD6">
            <v>11.98790259502891</v>
          </cell>
          <cell r="BE6">
            <v>19.307329983444337</v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L6">
            <v>10.210827200629867</v>
          </cell>
        </row>
        <row r="7">
          <cell r="A7">
            <v>10001219</v>
          </cell>
          <cell r="B7">
            <v>4</v>
          </cell>
          <cell r="C7" t="str">
            <v>NI</v>
          </cell>
          <cell r="D7" t="str">
            <v>USD</v>
          </cell>
          <cell r="E7">
            <v>37</v>
          </cell>
          <cell r="F7" t="str">
            <v>F</v>
          </cell>
          <cell r="G7">
            <v>38896</v>
          </cell>
          <cell r="H7">
            <v>1</v>
          </cell>
          <cell r="I7">
            <v>3350</v>
          </cell>
          <cell r="J7">
            <v>654.26</v>
          </cell>
          <cell r="K7">
            <v>654.26</v>
          </cell>
          <cell r="L7">
            <v>654.26</v>
          </cell>
          <cell r="M7">
            <v>5</v>
          </cell>
          <cell r="N7">
            <v>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J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L7">
            <v>0</v>
          </cell>
        </row>
        <row r="8">
          <cell r="A8">
            <v>10001381</v>
          </cell>
          <cell r="B8">
            <v>0</v>
          </cell>
          <cell r="C8" t="str">
            <v>LSG</v>
          </cell>
          <cell r="D8" t="str">
            <v>USD</v>
          </cell>
          <cell r="E8">
            <v>25</v>
          </cell>
          <cell r="F8" t="str">
            <v>F</v>
          </cell>
          <cell r="G8">
            <v>35187</v>
          </cell>
          <cell r="H8">
            <v>1</v>
          </cell>
          <cell r="I8">
            <v>20000</v>
          </cell>
          <cell r="J8">
            <v>1999.5</v>
          </cell>
          <cell r="K8">
            <v>236</v>
          </cell>
          <cell r="L8">
            <v>236</v>
          </cell>
          <cell r="M8">
            <v>20</v>
          </cell>
          <cell r="N8">
            <v>60</v>
          </cell>
          <cell r="O8">
            <v>20000</v>
          </cell>
          <cell r="P8">
            <v>30</v>
          </cell>
          <cell r="Q8">
            <v>0</v>
          </cell>
          <cell r="R8">
            <v>0</v>
          </cell>
          <cell r="T8">
            <v>56.08</v>
          </cell>
          <cell r="U8">
            <v>6.6099999999999959</v>
          </cell>
          <cell r="W8">
            <v>2801.8105142861182</v>
          </cell>
          <cell r="X8">
            <v>30</v>
          </cell>
          <cell r="Y8">
            <v>0</v>
          </cell>
          <cell r="Z8">
            <v>13.219999999999992</v>
          </cell>
          <cell r="AB8">
            <v>385.8747320307383</v>
          </cell>
          <cell r="AC8">
            <v>30</v>
          </cell>
          <cell r="AD8">
            <v>0</v>
          </cell>
          <cell r="AE8">
            <v>6.6099999999999959</v>
          </cell>
          <cell r="AH8">
            <v>89</v>
          </cell>
          <cell r="AI8">
            <v>84</v>
          </cell>
          <cell r="AJ8">
            <v>1</v>
          </cell>
          <cell r="AK8">
            <v>1.9293736601536916E-2</v>
          </cell>
          <cell r="AL8">
            <v>0</v>
          </cell>
          <cell r="AM8">
            <v>0</v>
          </cell>
          <cell r="AN8">
            <v>1.8469802685785519E-2</v>
          </cell>
          <cell r="AO8">
            <v>3.7429410957749543E-2</v>
          </cell>
          <cell r="AP8">
            <v>5.6894783238093327E-2</v>
          </cell>
          <cell r="AQ8">
            <v>7.6882411636083697E-2</v>
          </cell>
          <cell r="AR8">
            <v>9.739894435098026E-2</v>
          </cell>
          <cell r="AS8">
            <v>0.11846217841606482</v>
          </cell>
          <cell r="AT8">
            <v>0.14009052571430591</v>
          </cell>
          <cell r="AU8">
            <v>0.16228373402248228</v>
          </cell>
          <cell r="AW8">
            <v>0</v>
          </cell>
          <cell r="AY8">
            <v>1</v>
          </cell>
          <cell r="AZ8">
            <v>0</v>
          </cell>
          <cell r="BA8">
            <v>1</v>
          </cell>
          <cell r="BC8">
            <v>2.0459666998947093</v>
          </cell>
          <cell r="BD8">
            <v>2.5855200383009418</v>
          </cell>
          <cell r="BE8">
            <v>2.6896597720225031</v>
          </cell>
          <cell r="BF8">
            <v>2.8395916875034306</v>
          </cell>
          <cell r="BG8">
            <v>3.0391039385571128</v>
          </cell>
          <cell r="BH8">
            <v>3.2924656308403444</v>
          </cell>
          <cell r="BI8">
            <v>3.6043286506863161</v>
          </cell>
          <cell r="BJ8">
            <v>3.9791020133091379</v>
          </cell>
          <cell r="BL8">
            <v>65.849312616806884</v>
          </cell>
        </row>
        <row r="9">
          <cell r="A9">
            <v>10001381</v>
          </cell>
          <cell r="B9">
            <v>1</v>
          </cell>
          <cell r="C9" t="str">
            <v>SSG</v>
          </cell>
          <cell r="D9" t="str">
            <v>USD</v>
          </cell>
          <cell r="E9">
            <v>25</v>
          </cell>
          <cell r="F9" t="str">
            <v>F</v>
          </cell>
          <cell r="G9">
            <v>35187</v>
          </cell>
          <cell r="H9">
            <v>1</v>
          </cell>
          <cell r="I9">
            <v>20000</v>
          </cell>
          <cell r="J9">
            <v>794</v>
          </cell>
          <cell r="K9">
            <v>794</v>
          </cell>
          <cell r="L9">
            <v>794</v>
          </cell>
          <cell r="M9">
            <v>20</v>
          </cell>
          <cell r="N9">
            <v>20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>
            <v>22.23</v>
          </cell>
          <cell r="U9">
            <v>22.23</v>
          </cell>
          <cell r="W9">
            <v>6161.3821328757003</v>
          </cell>
          <cell r="X9">
            <v>0</v>
          </cell>
          <cell r="Y9">
            <v>0</v>
          </cell>
          <cell r="Z9">
            <v>44.46</v>
          </cell>
          <cell r="AB9">
            <v>813.04466097215743</v>
          </cell>
          <cell r="AC9">
            <v>0</v>
          </cell>
          <cell r="AD9">
            <v>0</v>
          </cell>
          <cell r="AE9">
            <v>22.23</v>
          </cell>
          <cell r="AH9">
            <v>89</v>
          </cell>
          <cell r="AI9">
            <v>84</v>
          </cell>
          <cell r="AJ9">
            <v>1</v>
          </cell>
          <cell r="AK9">
            <v>4.0652233048607871E-2</v>
          </cell>
          <cell r="AL9">
            <v>0</v>
          </cell>
          <cell r="AM9">
            <v>2.2204460492503131E-16</v>
          </cell>
          <cell r="AN9">
            <v>4.044598491662954E-2</v>
          </cell>
          <cell r="AO9">
            <v>8.2019378593155223E-2</v>
          </cell>
          <cell r="AP9">
            <v>0.12475672285795847</v>
          </cell>
          <cell r="AQ9">
            <v>0.16869578239166771</v>
          </cell>
          <cell r="AR9">
            <v>0.21386653258697391</v>
          </cell>
          <cell r="AS9">
            <v>0.26031011811343968</v>
          </cell>
          <cell r="AT9">
            <v>0.30806910664378501</v>
          </cell>
          <cell r="AU9">
            <v>0.35717272943776779</v>
          </cell>
          <cell r="AW9">
            <v>0</v>
          </cell>
          <cell r="AY9">
            <v>0</v>
          </cell>
          <cell r="AZ9">
            <v>0</v>
          </cell>
          <cell r="BA9">
            <v>1</v>
          </cell>
          <cell r="BC9">
            <v>0.13391459358816205</v>
          </cell>
          <cell r="BD9">
            <v>0.34414917716445903</v>
          </cell>
          <cell r="BE9">
            <v>0.65868947281572965</v>
          </cell>
          <cell r="BF9">
            <v>1.1025540439696611</v>
          </cell>
          <cell r="BG9">
            <v>1.6879040639508054</v>
          </cell>
          <cell r="BH9">
            <v>2.4280653321865318</v>
          </cell>
          <cell r="BI9">
            <v>3.3375554916692076</v>
          </cell>
          <cell r="BJ9">
            <v>4.4319042612691488</v>
          </cell>
          <cell r="BL9">
            <v>48.561306643730632</v>
          </cell>
        </row>
        <row r="10">
          <cell r="A10">
            <v>10001381</v>
          </cell>
          <cell r="B10">
            <v>3</v>
          </cell>
          <cell r="C10" t="str">
            <v>CEG</v>
          </cell>
          <cell r="D10" t="str">
            <v>USD</v>
          </cell>
          <cell r="E10">
            <v>25</v>
          </cell>
          <cell r="F10" t="str">
            <v>F</v>
          </cell>
          <cell r="G10">
            <v>37013</v>
          </cell>
          <cell r="H10">
            <v>1</v>
          </cell>
          <cell r="I10">
            <v>5000</v>
          </cell>
          <cell r="J10">
            <v>969.5</v>
          </cell>
          <cell r="K10">
            <v>969.5</v>
          </cell>
          <cell r="L10">
            <v>969.5</v>
          </cell>
          <cell r="M10">
            <v>5</v>
          </cell>
          <cell r="N10">
            <v>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>
            <v>27.24</v>
          </cell>
          <cell r="U10">
            <v>27.24</v>
          </cell>
          <cell r="W10">
            <v>2775.7363883162589</v>
          </cell>
          <cell r="X10">
            <v>0</v>
          </cell>
          <cell r="Y10">
            <v>0</v>
          </cell>
          <cell r="Z10">
            <v>54.48</v>
          </cell>
          <cell r="AB10">
            <v>994.11800314055029</v>
          </cell>
          <cell r="AC10">
            <v>0</v>
          </cell>
          <cell r="AD10">
            <v>0</v>
          </cell>
          <cell r="AE10">
            <v>27.24</v>
          </cell>
          <cell r="AH10">
            <v>29</v>
          </cell>
          <cell r="AI10">
            <v>24</v>
          </cell>
          <cell r="AJ10">
            <v>1</v>
          </cell>
          <cell r="AK10">
            <v>0.19882360062811005</v>
          </cell>
          <cell r="AL10">
            <v>0</v>
          </cell>
          <cell r="AM10">
            <v>0.13481140806569025</v>
          </cell>
          <cell r="AN10">
            <v>0.34200980881694709</v>
          </cell>
          <cell r="AO10">
            <v>0.55514727766325178</v>
          </cell>
          <cell r="AP10">
            <v>0.77441240910424991</v>
          </cell>
          <cell r="AQ10">
            <v>1</v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W10">
            <v>0</v>
          </cell>
          <cell r="AY10">
            <v>0</v>
          </cell>
          <cell r="AZ10">
            <v>0</v>
          </cell>
          <cell r="BA10">
            <v>1</v>
          </cell>
          <cell r="BC10">
            <v>3.04189866277446</v>
          </cell>
          <cell r="BD10">
            <v>11.987216920656529</v>
          </cell>
          <cell r="BE10">
            <v>19.307024510603512</v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L10">
            <v>15.209493313872299</v>
          </cell>
        </row>
        <row r="11">
          <cell r="A11">
            <v>10001381</v>
          </cell>
          <cell r="B11">
            <v>4</v>
          </cell>
          <cell r="C11" t="str">
            <v>NI</v>
          </cell>
          <cell r="D11" t="str">
            <v>USD</v>
          </cell>
          <cell r="E11">
            <v>25</v>
          </cell>
          <cell r="F11" t="str">
            <v>F</v>
          </cell>
          <cell r="G11">
            <v>38839</v>
          </cell>
          <cell r="H11">
            <v>1</v>
          </cell>
          <cell r="I11">
            <v>5000</v>
          </cell>
          <cell r="J11">
            <v>970.5</v>
          </cell>
          <cell r="K11">
            <v>970.5</v>
          </cell>
          <cell r="L11">
            <v>970.5</v>
          </cell>
          <cell r="M11">
            <v>5</v>
          </cell>
          <cell r="N11">
            <v>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J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L11">
            <v>0</v>
          </cell>
        </row>
        <row r="12">
          <cell r="A12">
            <v>10001414</v>
          </cell>
          <cell r="B12">
            <v>0</v>
          </cell>
          <cell r="C12" t="str">
            <v>LSG</v>
          </cell>
          <cell r="D12" t="str">
            <v>USD</v>
          </cell>
          <cell r="E12">
            <v>45</v>
          </cell>
          <cell r="F12" t="str">
            <v>M</v>
          </cell>
          <cell r="G12">
            <v>35213</v>
          </cell>
          <cell r="H12">
            <v>12</v>
          </cell>
          <cell r="I12">
            <v>40000</v>
          </cell>
          <cell r="J12">
            <v>606.57000000000005</v>
          </cell>
          <cell r="K12">
            <v>113.98000000000005</v>
          </cell>
          <cell r="L12">
            <v>1367.7600000000007</v>
          </cell>
          <cell r="M12">
            <v>20</v>
          </cell>
          <cell r="N12">
            <v>40</v>
          </cell>
          <cell r="O12">
            <v>40000</v>
          </cell>
          <cell r="P12">
            <v>68.400000000000006</v>
          </cell>
          <cell r="Q12">
            <v>0</v>
          </cell>
          <cell r="R12">
            <v>0</v>
          </cell>
          <cell r="T12">
            <v>42.46</v>
          </cell>
          <cell r="U12">
            <v>99.960000000000022</v>
          </cell>
          <cell r="W12">
            <v>8430.4198684708263</v>
          </cell>
          <cell r="X12">
            <v>68.400000000000006</v>
          </cell>
          <cell r="Y12">
            <v>0</v>
          </cell>
          <cell r="Z12">
            <v>199.92000000000004</v>
          </cell>
          <cell r="AB12">
            <v>1386.8470709916353</v>
          </cell>
          <cell r="AC12">
            <v>68.400000000000006</v>
          </cell>
          <cell r="AD12">
            <v>0</v>
          </cell>
          <cell r="AE12">
            <v>99.960000000000022</v>
          </cell>
          <cell r="AH12">
            <v>89</v>
          </cell>
          <cell r="AI12">
            <v>84</v>
          </cell>
          <cell r="AJ12">
            <v>6</v>
          </cell>
          <cell r="AK12">
            <v>3.4671176774790882E-2</v>
          </cell>
          <cell r="AL12">
            <v>0</v>
          </cell>
          <cell r="AM12">
            <v>1.6653345369377348E-16</v>
          </cell>
          <cell r="AN12">
            <v>3.0661621638888803E-2</v>
          </cell>
          <cell r="AO12">
            <v>6.1941989572391443E-2</v>
          </cell>
          <cell r="AP12">
            <v>9.3860374859641604E-2</v>
          </cell>
          <cell r="AQ12">
            <v>0.12642286098635147</v>
          </cell>
          <cell r="AR12">
            <v>0.159641615105311</v>
          </cell>
          <cell r="AS12">
            <v>0.19350282017473791</v>
          </cell>
          <cell r="AT12">
            <v>0.22801817324880341</v>
          </cell>
          <cell r="AU12">
            <v>0.26318619712903119</v>
          </cell>
          <cell r="AW12">
            <v>0</v>
          </cell>
          <cell r="AY12">
            <v>1</v>
          </cell>
          <cell r="AZ12">
            <v>0</v>
          </cell>
          <cell r="BA12">
            <v>1</v>
          </cell>
          <cell r="BC12">
            <v>0.23889042239032754</v>
          </cell>
          <cell r="BD12">
            <v>0.70230845504870754</v>
          </cell>
          <cell r="BE12">
            <v>1.0691052788071125</v>
          </cell>
          <cell r="BF12">
            <v>1.5567773156013827</v>
          </cell>
          <cell r="BG12">
            <v>2.1732365446945705</v>
          </cell>
          <cell r="BH12">
            <v>2.926061684117105</v>
          </cell>
          <cell r="BI12">
            <v>3.8235185870726958</v>
          </cell>
          <cell r="BJ12">
            <v>4.8736672677279875</v>
          </cell>
          <cell r="BL12">
            <v>117.0424673646842</v>
          </cell>
        </row>
        <row r="13">
          <cell r="A13">
            <v>10001414</v>
          </cell>
          <cell r="B13">
            <v>1</v>
          </cell>
          <cell r="C13" t="str">
            <v>SSG</v>
          </cell>
          <cell r="D13" t="str">
            <v>USD</v>
          </cell>
          <cell r="E13">
            <v>45</v>
          </cell>
          <cell r="F13" t="str">
            <v>M</v>
          </cell>
          <cell r="G13">
            <v>35213</v>
          </cell>
          <cell r="H13">
            <v>12</v>
          </cell>
          <cell r="I13">
            <v>40000</v>
          </cell>
          <cell r="J13">
            <v>169.1</v>
          </cell>
          <cell r="K13">
            <v>169.1</v>
          </cell>
          <cell r="L13">
            <v>2029.1999999999998</v>
          </cell>
          <cell r="M13">
            <v>20</v>
          </cell>
          <cell r="N13">
            <v>20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>
            <v>12.34</v>
          </cell>
          <cell r="U13">
            <v>148.07999999999998</v>
          </cell>
          <cell r="W13">
            <v>11322.725364375136</v>
          </cell>
          <cell r="X13">
            <v>0</v>
          </cell>
          <cell r="Y13">
            <v>0</v>
          </cell>
          <cell r="Z13">
            <v>296.15999999999997</v>
          </cell>
          <cell r="AB13">
            <v>1777.3911351101813</v>
          </cell>
          <cell r="AC13">
            <v>0</v>
          </cell>
          <cell r="AD13">
            <v>0</v>
          </cell>
          <cell r="AE13">
            <v>148.07999999999998</v>
          </cell>
          <cell r="AH13">
            <v>89</v>
          </cell>
          <cell r="AI13">
            <v>84</v>
          </cell>
          <cell r="AJ13">
            <v>6</v>
          </cell>
          <cell r="AK13">
            <v>4.443477837775453E-2</v>
          </cell>
          <cell r="AL13">
            <v>0</v>
          </cell>
          <cell r="AM13">
            <v>2.2204460492503131E-16</v>
          </cell>
          <cell r="AN13">
            <v>4.0745350980161299E-2</v>
          </cell>
          <cell r="AO13">
            <v>8.2448523248824457E-2</v>
          </cell>
          <cell r="AP13">
            <v>0.12514973634730342</v>
          </cell>
          <cell r="AQ13">
            <v>0.16887904752702165</v>
          </cell>
          <cell r="AR13">
            <v>0.21367568591858749</v>
          </cell>
          <cell r="AS13">
            <v>0.25955893675190872</v>
          </cell>
          <cell r="AT13">
            <v>0.30657733146684796</v>
          </cell>
          <cell r="AU13">
            <v>0.35477402975701045</v>
          </cell>
          <cell r="AW13">
            <v>0</v>
          </cell>
          <cell r="AY13">
            <v>0</v>
          </cell>
          <cell r="AZ13">
            <v>0</v>
          </cell>
          <cell r="BA13">
            <v>1</v>
          </cell>
          <cell r="BC13">
            <v>0.1523733713553739</v>
          </cell>
          <cell r="BD13">
            <v>0.38282218150821001</v>
          </cell>
          <cell r="BE13">
            <v>0.70462754614799739</v>
          </cell>
          <cell r="BF13">
            <v>1.1549656114175262</v>
          </cell>
          <cell r="BG13">
            <v>1.7448661966668524</v>
          </cell>
          <cell r="BH13">
            <v>2.4860249724230448</v>
          </cell>
          <cell r="BI13">
            <v>3.3914834584799989</v>
          </cell>
          <cell r="BJ13">
            <v>4.475353698280963</v>
          </cell>
          <cell r="BL13">
            <v>99.440998896921798</v>
          </cell>
        </row>
        <row r="14">
          <cell r="A14">
            <v>10001414</v>
          </cell>
          <cell r="B14">
            <v>2</v>
          </cell>
          <cell r="C14" t="str">
            <v>CEG</v>
          </cell>
          <cell r="D14" t="str">
            <v>USD</v>
          </cell>
          <cell r="E14">
            <v>45</v>
          </cell>
          <cell r="F14" t="str">
            <v>M</v>
          </cell>
          <cell r="G14">
            <v>35213</v>
          </cell>
          <cell r="H14">
            <v>12</v>
          </cell>
          <cell r="I14">
            <v>13400</v>
          </cell>
          <cell r="J14">
            <v>73.58</v>
          </cell>
          <cell r="K14">
            <v>73.58</v>
          </cell>
          <cell r="L14">
            <v>882.96</v>
          </cell>
          <cell r="M14">
            <v>15</v>
          </cell>
          <cell r="N14">
            <v>15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>
            <v>5.3</v>
          </cell>
          <cell r="U14">
            <v>63.599999999999994</v>
          </cell>
          <cell r="W14">
            <v>5547.4350189294109</v>
          </cell>
          <cell r="X14">
            <v>0</v>
          </cell>
          <cell r="Y14">
            <v>0</v>
          </cell>
          <cell r="Z14">
            <v>127.19999999999999</v>
          </cell>
          <cell r="AB14">
            <v>809.13331396404999</v>
          </cell>
          <cell r="AC14">
            <v>0</v>
          </cell>
          <cell r="AD14">
            <v>0</v>
          </cell>
          <cell r="AE14">
            <v>63.599999999999994</v>
          </cell>
          <cell r="AH14">
            <v>89</v>
          </cell>
          <cell r="AI14">
            <v>84</v>
          </cell>
          <cell r="AJ14">
            <v>6</v>
          </cell>
          <cell r="AK14">
            <v>6.0383083131645518E-2</v>
          </cell>
          <cell r="AL14">
            <v>0</v>
          </cell>
          <cell r="AM14">
            <v>1.5017963801425838E-3</v>
          </cell>
          <cell r="AN14">
            <v>6.0297061783717409E-2</v>
          </cell>
          <cell r="AO14">
            <v>0.12067276606820942</v>
          </cell>
          <cell r="AP14">
            <v>0.18269588068107601</v>
          </cell>
          <cell r="AQ14">
            <v>0.24643048578617621</v>
          </cell>
          <cell r="AR14">
            <v>0.31195105249517019</v>
          </cell>
          <cell r="AS14">
            <v>0.3793261473821517</v>
          </cell>
          <cell r="AT14">
            <v>0.44864922857746192</v>
          </cell>
          <cell r="AU14">
            <v>0.52001994612799141</v>
          </cell>
          <cell r="AW14">
            <v>0</v>
          </cell>
          <cell r="AY14">
            <v>0</v>
          </cell>
          <cell r="AZ14">
            <v>0</v>
          </cell>
          <cell r="BA14">
            <v>1</v>
          </cell>
          <cell r="BC14">
            <v>0.79235256391770215</v>
          </cell>
          <cell r="BD14">
            <v>1.8025815078672147</v>
          </cell>
          <cell r="BE14">
            <v>2.6764855417840154</v>
          </cell>
          <cell r="BF14">
            <v>3.8706283754064001</v>
          </cell>
          <cell r="BG14">
            <v>5.4152047022701986</v>
          </cell>
          <cell r="BH14">
            <v>7.3430578515400748</v>
          </cell>
          <cell r="BI14">
            <v>9.6903237125836981</v>
          </cell>
          <cell r="BJ14">
            <v>12.496580478112698</v>
          </cell>
          <cell r="BL14">
            <v>98.396975210636995</v>
          </cell>
        </row>
        <row r="15">
          <cell r="A15">
            <v>10001414</v>
          </cell>
          <cell r="B15">
            <v>4</v>
          </cell>
          <cell r="C15" t="str">
            <v>CEG</v>
          </cell>
          <cell r="D15" t="str">
            <v>USD</v>
          </cell>
          <cell r="E15">
            <v>45</v>
          </cell>
          <cell r="F15" t="str">
            <v>M</v>
          </cell>
          <cell r="G15">
            <v>37039</v>
          </cell>
          <cell r="H15">
            <v>12</v>
          </cell>
          <cell r="I15">
            <v>13400</v>
          </cell>
          <cell r="J15">
            <v>249.91</v>
          </cell>
          <cell r="K15">
            <v>249.91</v>
          </cell>
          <cell r="L15">
            <v>2998.92</v>
          </cell>
          <cell r="M15">
            <v>5</v>
          </cell>
          <cell r="N15">
            <v>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>
            <v>16.489999999999998</v>
          </cell>
          <cell r="U15">
            <v>197.88</v>
          </cell>
          <cell r="W15">
            <v>5997.1273148886767</v>
          </cell>
          <cell r="X15">
            <v>0</v>
          </cell>
          <cell r="Y15">
            <v>0</v>
          </cell>
          <cell r="Z15">
            <v>395.76</v>
          </cell>
          <cell r="AB15">
            <v>2678.9304021713215</v>
          </cell>
          <cell r="AC15">
            <v>0</v>
          </cell>
          <cell r="AD15">
            <v>0</v>
          </cell>
          <cell r="AE15">
            <v>197.88</v>
          </cell>
          <cell r="AH15">
            <v>29</v>
          </cell>
          <cell r="AI15">
            <v>24</v>
          </cell>
          <cell r="AJ15">
            <v>6</v>
          </cell>
          <cell r="AK15">
            <v>0.19992017926651653</v>
          </cell>
          <cell r="AL15">
            <v>0</v>
          </cell>
          <cell r="AM15">
            <v>0.13507360140027869</v>
          </cell>
          <cell r="AN15">
            <v>0.34123341522925554</v>
          </cell>
          <cell r="AO15">
            <v>0.55386021385860662</v>
          </cell>
          <cell r="AP15">
            <v>0.77331583046584274</v>
          </cell>
          <cell r="AQ15">
            <v>1</v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W15">
            <v>0</v>
          </cell>
          <cell r="AY15">
            <v>0</v>
          </cell>
          <cell r="AZ15">
            <v>0</v>
          </cell>
          <cell r="BA15">
            <v>1</v>
          </cell>
          <cell r="BC15">
            <v>3.0632555114568931</v>
          </cell>
          <cell r="BD15">
            <v>11.988314165770895</v>
          </cell>
          <cell r="BE15">
            <v>19.30809235303764</v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L15">
            <v>41.047623853522367</v>
          </cell>
        </row>
        <row r="16">
          <cell r="A16">
            <v>10001568</v>
          </cell>
          <cell r="B16">
            <v>0</v>
          </cell>
          <cell r="C16" t="str">
            <v>LSG</v>
          </cell>
          <cell r="D16" t="str">
            <v>USD</v>
          </cell>
          <cell r="E16">
            <v>42</v>
          </cell>
          <cell r="F16" t="str">
            <v>M</v>
          </cell>
          <cell r="G16">
            <v>35274</v>
          </cell>
          <cell r="H16">
            <v>1</v>
          </cell>
          <cell r="I16">
            <v>30000</v>
          </cell>
          <cell r="J16">
            <v>4053.78</v>
          </cell>
          <cell r="K16">
            <v>792.00000000000023</v>
          </cell>
          <cell r="L16">
            <v>792.00000000000023</v>
          </cell>
          <cell r="M16">
            <v>20</v>
          </cell>
          <cell r="N16">
            <v>43</v>
          </cell>
          <cell r="O16">
            <v>30000</v>
          </cell>
          <cell r="P16">
            <v>45</v>
          </cell>
          <cell r="Q16">
            <v>0</v>
          </cell>
          <cell r="R16">
            <v>0</v>
          </cell>
          <cell r="T16">
            <v>237.91</v>
          </cell>
          <cell r="U16">
            <v>46.72999999999999</v>
          </cell>
          <cell r="W16">
            <v>6464.81817770412</v>
          </cell>
          <cell r="X16">
            <v>45</v>
          </cell>
          <cell r="Y16">
            <v>0</v>
          </cell>
          <cell r="Z16">
            <v>93.45999999999998</v>
          </cell>
          <cell r="AB16">
            <v>958.10500194076815</v>
          </cell>
          <cell r="AC16">
            <v>45</v>
          </cell>
          <cell r="AD16">
            <v>0</v>
          </cell>
          <cell r="AE16">
            <v>46.72999999999999</v>
          </cell>
          <cell r="AH16">
            <v>87</v>
          </cell>
          <cell r="AI16">
            <v>84</v>
          </cell>
          <cell r="AJ16">
            <v>1</v>
          </cell>
          <cell r="AK16">
            <v>3.1936833398025603E-2</v>
          </cell>
          <cell r="AL16">
            <v>0</v>
          </cell>
          <cell r="AM16">
            <v>0</v>
          </cell>
          <cell r="AN16">
            <v>2.8901569642128921E-2</v>
          </cell>
          <cell r="AO16">
            <v>5.8396652495162515E-2</v>
          </cell>
          <cell r="AP16">
            <v>8.8506291514112545E-2</v>
          </cell>
          <cell r="AQ16">
            <v>0.11924584959715973</v>
          </cell>
          <cell r="AR16">
            <v>0.15064326402762551</v>
          </cell>
          <cell r="AS16">
            <v>0.18272189984694293</v>
          </cell>
          <cell r="AT16">
            <v>0.21549393925680399</v>
          </cell>
          <cell r="AU16">
            <v>0.24897796465542515</v>
          </cell>
          <cell r="AW16">
            <v>0</v>
          </cell>
          <cell r="AY16">
            <v>1</v>
          </cell>
          <cell r="AZ16">
            <v>0</v>
          </cell>
          <cell r="BA16">
            <v>1</v>
          </cell>
          <cell r="BC16">
            <v>0.66313169351643853</v>
          </cell>
          <cell r="BD16">
            <v>1.1651839005009672</v>
          </cell>
          <cell r="BE16">
            <v>1.4845976272698742</v>
          </cell>
          <cell r="BF16">
            <v>1.9113071289382544</v>
          </cell>
          <cell r="BG16">
            <v>2.4528601361398015</v>
          </cell>
          <cell r="BH16">
            <v>3.1172668020752425</v>
          </cell>
          <cell r="BI16">
            <v>3.9127196217795128</v>
          </cell>
          <cell r="BJ16">
            <v>4.8479635067751614</v>
          </cell>
          <cell r="BL16">
            <v>93.518004062257276</v>
          </cell>
        </row>
        <row r="17">
          <cell r="A17">
            <v>10001568</v>
          </cell>
          <cell r="B17">
            <v>1</v>
          </cell>
          <cell r="C17" t="str">
            <v>SSG</v>
          </cell>
          <cell r="D17" t="str">
            <v>USD</v>
          </cell>
          <cell r="E17">
            <v>42</v>
          </cell>
          <cell r="F17" t="str">
            <v>M</v>
          </cell>
          <cell r="G17">
            <v>35274</v>
          </cell>
          <cell r="H17">
            <v>1</v>
          </cell>
          <cell r="I17">
            <v>30000</v>
          </cell>
          <cell r="J17">
            <v>1296</v>
          </cell>
          <cell r="K17">
            <v>1296</v>
          </cell>
          <cell r="L17">
            <v>1296</v>
          </cell>
          <cell r="M17">
            <v>20</v>
          </cell>
          <cell r="N17">
            <v>20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T17">
            <v>76.459999999999994</v>
          </cell>
          <cell r="U17">
            <v>76.459999999999994</v>
          </cell>
          <cell r="W17">
            <v>9205.9652452204045</v>
          </cell>
          <cell r="X17">
            <v>0</v>
          </cell>
          <cell r="Y17">
            <v>0</v>
          </cell>
          <cell r="Z17">
            <v>152.91999999999999</v>
          </cell>
          <cell r="AB17">
            <v>1300.9509937845075</v>
          </cell>
          <cell r="AC17">
            <v>0</v>
          </cell>
          <cell r="AD17">
            <v>0</v>
          </cell>
          <cell r="AE17">
            <v>76.459999999999994</v>
          </cell>
          <cell r="AH17">
            <v>87</v>
          </cell>
          <cell r="AI17">
            <v>84</v>
          </cell>
          <cell r="AJ17">
            <v>1</v>
          </cell>
          <cell r="AK17">
            <v>4.3365033126150254E-2</v>
          </cell>
          <cell r="AL17">
            <v>0</v>
          </cell>
          <cell r="AM17">
            <v>0</v>
          </cell>
          <cell r="AN17">
            <v>4.0691558517946591E-2</v>
          </cell>
          <cell r="AO17">
            <v>8.2358052604189713E-2</v>
          </cell>
          <cell r="AP17">
            <v>0.12504191886415184</v>
          </cell>
          <cell r="AQ17">
            <v>0.16878230859001653</v>
          </cell>
          <cell r="AR17">
            <v>0.2136327829028139</v>
          </cell>
          <cell r="AS17">
            <v>0.25964533864145029</v>
          </cell>
          <cell r="AT17">
            <v>0.30686550817401348</v>
          </cell>
          <cell r="AU17">
            <v>0.35534932647121659</v>
          </cell>
          <cell r="AW17">
            <v>0</v>
          </cell>
          <cell r="AY17">
            <v>0</v>
          </cell>
          <cell r="AZ17">
            <v>0</v>
          </cell>
          <cell r="BA17">
            <v>1</v>
          </cell>
          <cell r="BC17">
            <v>0.14715001063239591</v>
          </cell>
          <cell r="BD17">
            <v>0.37255474860578786</v>
          </cell>
          <cell r="BE17">
            <v>0.69225623282895665</v>
          </cell>
          <cell r="BF17">
            <v>1.1403860664306036</v>
          </cell>
          <cell r="BG17">
            <v>1.7283703023648538</v>
          </cell>
          <cell r="BH17">
            <v>2.4687132459440151</v>
          </cell>
          <cell r="BI17">
            <v>3.3749798912041351</v>
          </cell>
          <cell r="BJ17">
            <v>4.4621320438318923</v>
          </cell>
          <cell r="BL17">
            <v>74.06139737832045</v>
          </cell>
        </row>
        <row r="18">
          <cell r="A18">
            <v>10001568</v>
          </cell>
          <cell r="B18">
            <v>3</v>
          </cell>
          <cell r="C18" t="str">
            <v>CEG</v>
          </cell>
          <cell r="D18" t="str">
            <v>USD</v>
          </cell>
          <cell r="E18">
            <v>42</v>
          </cell>
          <cell r="F18" t="str">
            <v>M</v>
          </cell>
          <cell r="G18">
            <v>37100</v>
          </cell>
          <cell r="H18">
            <v>1</v>
          </cell>
          <cell r="I18">
            <v>10050</v>
          </cell>
          <cell r="J18">
            <v>1965.78</v>
          </cell>
          <cell r="K18">
            <v>1965.78</v>
          </cell>
          <cell r="L18">
            <v>1965.78</v>
          </cell>
          <cell r="M18">
            <v>5</v>
          </cell>
          <cell r="N18">
            <v>5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>
            <v>114.72</v>
          </cell>
          <cell r="U18">
            <v>114.72</v>
          </cell>
          <cell r="W18">
            <v>5569.9615748544766</v>
          </cell>
          <cell r="X18">
            <v>0</v>
          </cell>
          <cell r="Y18">
            <v>0</v>
          </cell>
          <cell r="Z18">
            <v>229.44</v>
          </cell>
          <cell r="AB18">
            <v>2006.1036992081338</v>
          </cell>
          <cell r="AC18">
            <v>0</v>
          </cell>
          <cell r="AD18">
            <v>0</v>
          </cell>
          <cell r="AE18">
            <v>114.72</v>
          </cell>
          <cell r="AH18">
            <v>27</v>
          </cell>
          <cell r="AI18">
            <v>24</v>
          </cell>
          <cell r="AJ18">
            <v>1</v>
          </cell>
          <cell r="AK18">
            <v>0.19961230837891877</v>
          </cell>
          <cell r="AL18">
            <v>0</v>
          </cell>
          <cell r="AM18">
            <v>0.13497620700163759</v>
          </cell>
          <cell r="AN18">
            <v>0.34145073973540629</v>
          </cell>
          <cell r="AO18">
            <v>0.55422503232382847</v>
          </cell>
          <cell r="AP18">
            <v>0.77362370135344061</v>
          </cell>
          <cell r="AQ18">
            <v>1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W18">
            <v>0</v>
          </cell>
          <cell r="AY18">
            <v>0</v>
          </cell>
          <cell r="AZ18">
            <v>0</v>
          </cell>
          <cell r="BA18">
            <v>1</v>
          </cell>
          <cell r="BC18">
            <v>3.0570152704669677</v>
          </cell>
          <cell r="BD18">
            <v>11.988168634508231</v>
          </cell>
          <cell r="BE18">
            <v>19.307780340988135</v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L18">
            <v>30.723003468193028</v>
          </cell>
        </row>
        <row r="19">
          <cell r="A19">
            <v>10001568</v>
          </cell>
          <cell r="B19">
            <v>4</v>
          </cell>
          <cell r="C19" t="str">
            <v>NI</v>
          </cell>
          <cell r="D19" t="str">
            <v>USD</v>
          </cell>
          <cell r="E19">
            <v>42</v>
          </cell>
          <cell r="F19" t="str">
            <v>M</v>
          </cell>
          <cell r="G19">
            <v>38926</v>
          </cell>
          <cell r="H19">
            <v>1</v>
          </cell>
          <cell r="I19">
            <v>10050</v>
          </cell>
          <cell r="J19">
            <v>1977.84</v>
          </cell>
          <cell r="K19">
            <v>1977.84</v>
          </cell>
          <cell r="L19">
            <v>1977.84</v>
          </cell>
          <cell r="M19">
            <v>5</v>
          </cell>
          <cell r="N19">
            <v>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J19">
            <v>0</v>
          </cell>
          <cell r="AW19">
            <v>0</v>
          </cell>
          <cell r="AY19">
            <v>0</v>
          </cell>
          <cell r="AZ19">
            <v>0</v>
          </cell>
          <cell r="BA19">
            <v>0</v>
          </cell>
          <cell r="BL19">
            <v>0</v>
          </cell>
        </row>
        <row r="20">
          <cell r="A20">
            <v>10001702</v>
          </cell>
          <cell r="B20">
            <v>0</v>
          </cell>
          <cell r="C20" t="str">
            <v>LSG</v>
          </cell>
          <cell r="D20" t="str">
            <v>USD</v>
          </cell>
          <cell r="E20">
            <v>43</v>
          </cell>
          <cell r="F20" t="str">
            <v>M</v>
          </cell>
          <cell r="G20">
            <v>35340</v>
          </cell>
          <cell r="H20">
            <v>2</v>
          </cell>
          <cell r="I20">
            <v>20000</v>
          </cell>
          <cell r="J20">
            <v>1421.61</v>
          </cell>
          <cell r="K20">
            <v>285.99999999999989</v>
          </cell>
          <cell r="L20">
            <v>571.99999999999977</v>
          </cell>
          <cell r="M20">
            <v>20</v>
          </cell>
          <cell r="N20">
            <v>42</v>
          </cell>
          <cell r="O20">
            <v>20000</v>
          </cell>
          <cell r="P20">
            <v>31.2</v>
          </cell>
          <cell r="Q20">
            <v>0</v>
          </cell>
          <cell r="R20">
            <v>0</v>
          </cell>
          <cell r="T20">
            <v>89.15</v>
          </cell>
          <cell r="U20">
            <v>36.040000000000006</v>
          </cell>
          <cell r="W20">
            <v>4059.5664182506098</v>
          </cell>
          <cell r="X20">
            <v>31.2</v>
          </cell>
          <cell r="Y20">
            <v>0</v>
          </cell>
          <cell r="Z20">
            <v>72.080000000000013</v>
          </cell>
          <cell r="AB20">
            <v>656.30293023270428</v>
          </cell>
          <cell r="AC20">
            <v>31.2</v>
          </cell>
          <cell r="AD20">
            <v>0</v>
          </cell>
          <cell r="AE20">
            <v>36.040000000000006</v>
          </cell>
          <cell r="AH20">
            <v>84</v>
          </cell>
          <cell r="AI20">
            <v>84</v>
          </cell>
          <cell r="AJ20">
            <v>1</v>
          </cell>
          <cell r="AK20">
            <v>3.2815146511635217E-2</v>
          </cell>
          <cell r="AL20">
            <v>0</v>
          </cell>
          <cell r="AM20">
            <v>0</v>
          </cell>
          <cell r="AN20">
            <v>2.9476374798574845E-2</v>
          </cell>
          <cell r="AO20">
            <v>5.9556239157455559E-2</v>
          </cell>
          <cell r="AP20">
            <v>9.0253697707252001E-2</v>
          </cell>
          <cell r="AQ20">
            <v>0.12159566144268469</v>
          </cell>
          <cell r="AR20">
            <v>0.15360412178009081</v>
          </cell>
          <cell r="AS20">
            <v>0.18628922657341279</v>
          </cell>
          <cell r="AT20">
            <v>0.21966741525164818</v>
          </cell>
          <cell r="AU20">
            <v>0.25373180589072003</v>
          </cell>
          <cell r="AW20">
            <v>0</v>
          </cell>
          <cell r="AY20">
            <v>1</v>
          </cell>
          <cell r="AZ20">
            <v>0</v>
          </cell>
          <cell r="BA20">
            <v>1</v>
          </cell>
          <cell r="BC20">
            <v>0.53590531360793836</v>
          </cell>
          <cell r="BD20">
            <v>1.0276756411921708</v>
          </cell>
          <cell r="BE20">
            <v>1.3621653210229332</v>
          </cell>
          <cell r="BF20">
            <v>1.8084475635326809</v>
          </cell>
          <cell r="BG20">
            <v>2.3742713009972318</v>
          </cell>
          <cell r="BH20">
            <v>3.0675779395809419</v>
          </cell>
          <cell r="BI20">
            <v>3.8968167294464209</v>
          </cell>
          <cell r="BJ20">
            <v>4.8700204045649338</v>
          </cell>
          <cell r="BL20">
            <v>61.351558791618835</v>
          </cell>
        </row>
        <row r="21">
          <cell r="A21">
            <v>10001702</v>
          </cell>
          <cell r="B21">
            <v>1</v>
          </cell>
          <cell r="C21" t="str">
            <v>SSG</v>
          </cell>
          <cell r="D21" t="str">
            <v>USD</v>
          </cell>
          <cell r="E21">
            <v>43</v>
          </cell>
          <cell r="F21" t="str">
            <v>M</v>
          </cell>
          <cell r="G21">
            <v>35340</v>
          </cell>
          <cell r="H21">
            <v>2</v>
          </cell>
          <cell r="I21">
            <v>20000</v>
          </cell>
          <cell r="J21">
            <v>453.44</v>
          </cell>
          <cell r="K21">
            <v>453.44</v>
          </cell>
          <cell r="L21">
            <v>906.88</v>
          </cell>
          <cell r="M21">
            <v>20</v>
          </cell>
          <cell r="N21">
            <v>20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T21">
            <v>28.54</v>
          </cell>
          <cell r="U21">
            <v>57.08</v>
          </cell>
          <cell r="W21">
            <v>5663.7036112954702</v>
          </cell>
          <cell r="X21">
            <v>0</v>
          </cell>
          <cell r="Y21">
            <v>0</v>
          </cell>
          <cell r="Z21">
            <v>114.16</v>
          </cell>
          <cell r="AB21">
            <v>873.78597681330996</v>
          </cell>
          <cell r="AC21">
            <v>0</v>
          </cell>
          <cell r="AD21">
            <v>0</v>
          </cell>
          <cell r="AE21">
            <v>57.08</v>
          </cell>
          <cell r="AH21">
            <v>84</v>
          </cell>
          <cell r="AI21">
            <v>84</v>
          </cell>
          <cell r="AJ21">
            <v>1</v>
          </cell>
          <cell r="AK21">
            <v>4.3689298840665497E-2</v>
          </cell>
          <cell r="AL21">
            <v>0</v>
          </cell>
          <cell r="AM21">
            <v>0</v>
          </cell>
          <cell r="AN21">
            <v>4.0698607473442783E-2</v>
          </cell>
          <cell r="AO21">
            <v>8.236817520647266E-2</v>
          </cell>
          <cell r="AP21">
            <v>0.12504428130370948</v>
          </cell>
          <cell r="AQ21">
            <v>0.16877709091108362</v>
          </cell>
          <cell r="AR21">
            <v>0.21361449399909688</v>
          </cell>
          <cell r="AS21">
            <v>0.25959664144660055</v>
          </cell>
          <cell r="AT21">
            <v>0.30677371968294637</v>
          </cell>
          <cell r="AU21">
            <v>0.35518078089121152</v>
          </cell>
          <cell r="AW21">
            <v>0</v>
          </cell>
          <cell r="AY21">
            <v>0</v>
          </cell>
          <cell r="AZ21">
            <v>0</v>
          </cell>
          <cell r="BA21">
            <v>1</v>
          </cell>
          <cell r="BC21">
            <v>0.14873985231691553</v>
          </cell>
          <cell r="BD21">
            <v>0.37550005695100225</v>
          </cell>
          <cell r="BE21">
            <v>0.69568170357888426</v>
          </cell>
          <cell r="BF21">
            <v>1.1443651647399653</v>
          </cell>
          <cell r="BG21">
            <v>1.7328896793269806</v>
          </cell>
          <cell r="BH21">
            <v>2.4735318191775097</v>
          </cell>
          <cell r="BI21">
            <v>3.3797978748897579</v>
          </cell>
          <cell r="BJ21">
            <v>4.4661340507869687</v>
          </cell>
          <cell r="BL21">
            <v>49.4706363835502</v>
          </cell>
        </row>
        <row r="22">
          <cell r="A22">
            <v>10001702</v>
          </cell>
          <cell r="B22">
            <v>3</v>
          </cell>
          <cell r="C22" t="str">
            <v>CEG</v>
          </cell>
          <cell r="D22" t="str">
            <v>USD</v>
          </cell>
          <cell r="E22">
            <v>43</v>
          </cell>
          <cell r="F22" t="str">
            <v>M</v>
          </cell>
          <cell r="G22">
            <v>37166</v>
          </cell>
          <cell r="H22">
            <v>2</v>
          </cell>
          <cell r="I22">
            <v>6700</v>
          </cell>
          <cell r="J22">
            <v>682.17</v>
          </cell>
          <cell r="K22">
            <v>682.17</v>
          </cell>
          <cell r="L22">
            <v>1364.34</v>
          </cell>
          <cell r="M22">
            <v>5</v>
          </cell>
          <cell r="N22">
            <v>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>
            <v>42.59</v>
          </cell>
          <cell r="U22">
            <v>85.18</v>
          </cell>
          <cell r="W22">
            <v>2999.9289034566887</v>
          </cell>
          <cell r="X22">
            <v>0</v>
          </cell>
          <cell r="Y22">
            <v>0</v>
          </cell>
          <cell r="Z22">
            <v>170.36</v>
          </cell>
          <cell r="AB22">
            <v>1338.0366825284473</v>
          </cell>
          <cell r="AC22">
            <v>0</v>
          </cell>
          <cell r="AD22">
            <v>0</v>
          </cell>
          <cell r="AE22">
            <v>85.18</v>
          </cell>
          <cell r="AH22">
            <v>24</v>
          </cell>
          <cell r="AI22">
            <v>24</v>
          </cell>
          <cell r="AJ22">
            <v>1</v>
          </cell>
          <cell r="AK22">
            <v>0.19970696754155928</v>
          </cell>
          <cell r="AL22">
            <v>0</v>
          </cell>
          <cell r="AM22">
            <v>0.13501152605386402</v>
          </cell>
          <cell r="AN22">
            <v>0.34138668081614731</v>
          </cell>
          <cell r="AO22">
            <v>0.55411448439480449</v>
          </cell>
          <cell r="AP22">
            <v>0.77352904219080088</v>
          </cell>
          <cell r="AQ22">
            <v>1</v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W22">
            <v>0</v>
          </cell>
          <cell r="AY22">
            <v>0</v>
          </cell>
          <cell r="AZ22">
            <v>0</v>
          </cell>
          <cell r="BA22">
            <v>1</v>
          </cell>
          <cell r="BC22">
            <v>3.0589645379287358</v>
          </cell>
          <cell r="BD22">
            <v>11.98821956719854</v>
          </cell>
          <cell r="BE22">
            <v>19.307877804361226</v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L22">
            <v>20.495062404122532</v>
          </cell>
        </row>
        <row r="23">
          <cell r="A23">
            <v>10001702</v>
          </cell>
          <cell r="B23">
            <v>4</v>
          </cell>
          <cell r="C23" t="str">
            <v>NI</v>
          </cell>
          <cell r="D23" t="str">
            <v>USD</v>
          </cell>
          <cell r="E23">
            <v>43</v>
          </cell>
          <cell r="F23" t="str">
            <v>M</v>
          </cell>
          <cell r="G23">
            <v>38992</v>
          </cell>
          <cell r="H23">
            <v>2</v>
          </cell>
          <cell r="I23">
            <v>6700</v>
          </cell>
          <cell r="J23">
            <v>687.04</v>
          </cell>
          <cell r="K23">
            <v>687.04</v>
          </cell>
          <cell r="L23">
            <v>1374.08</v>
          </cell>
          <cell r="M23">
            <v>5</v>
          </cell>
          <cell r="N23">
            <v>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J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L23">
            <v>0</v>
          </cell>
        </row>
        <row r="24">
          <cell r="A24">
            <v>10001709</v>
          </cell>
          <cell r="B24">
            <v>0</v>
          </cell>
          <cell r="C24" t="str">
            <v>LSG</v>
          </cell>
          <cell r="D24" t="str">
            <v>USD</v>
          </cell>
          <cell r="E24">
            <v>19</v>
          </cell>
          <cell r="F24" t="str">
            <v>F</v>
          </cell>
          <cell r="G24">
            <v>35309</v>
          </cell>
          <cell r="H24">
            <v>1</v>
          </cell>
          <cell r="I24">
            <v>10000</v>
          </cell>
          <cell r="J24">
            <v>973.5</v>
          </cell>
          <cell r="K24">
            <v>95</v>
          </cell>
          <cell r="L24">
            <v>95</v>
          </cell>
          <cell r="M24">
            <v>20</v>
          </cell>
          <cell r="N24">
            <v>66</v>
          </cell>
          <cell r="O24">
            <v>10000</v>
          </cell>
          <cell r="P24">
            <v>15</v>
          </cell>
          <cell r="Q24">
            <v>0</v>
          </cell>
          <cell r="R24">
            <v>0</v>
          </cell>
          <cell r="T24">
            <v>26.31</v>
          </cell>
          <cell r="U24">
            <v>2.5699999999999985</v>
          </cell>
          <cell r="W24">
            <v>1212.4622047359692</v>
          </cell>
          <cell r="X24">
            <v>15</v>
          </cell>
          <cell r="Y24">
            <v>0</v>
          </cell>
          <cell r="Z24">
            <v>5.139999999999997</v>
          </cell>
          <cell r="AB24">
            <v>166.89797309188376</v>
          </cell>
          <cell r="AC24">
            <v>15</v>
          </cell>
          <cell r="AD24">
            <v>0</v>
          </cell>
          <cell r="AE24">
            <v>2.5699999999999985</v>
          </cell>
          <cell r="AH24">
            <v>85</v>
          </cell>
          <cell r="AI24">
            <v>84</v>
          </cell>
          <cell r="AJ24">
            <v>1</v>
          </cell>
          <cell r="AK24">
            <v>1.6689797309188376E-2</v>
          </cell>
          <cell r="AL24">
            <v>0</v>
          </cell>
          <cell r="AM24">
            <v>0</v>
          </cell>
          <cell r="AN24">
            <v>1.5949208820743688E-2</v>
          </cell>
          <cell r="AO24">
            <v>3.233473854377647E-2</v>
          </cell>
          <cell r="AP24">
            <v>4.9169910525736549E-2</v>
          </cell>
          <cell r="AQ24">
            <v>6.646846117838312E-2</v>
          </cell>
          <cell r="AR24">
            <v>8.4234010074302895E-2</v>
          </cell>
          <cell r="AS24">
            <v>0.10249161455391964</v>
          </cell>
          <cell r="AT24">
            <v>0.12124622047359693</v>
          </cell>
          <cell r="AU24">
            <v>0.14050361642883935</v>
          </cell>
          <cell r="AW24">
            <v>0</v>
          </cell>
          <cell r="AY24">
            <v>1</v>
          </cell>
          <cell r="AZ24">
            <v>0</v>
          </cell>
          <cell r="BA24">
            <v>1</v>
          </cell>
          <cell r="BC24">
            <v>1.6492614490894877</v>
          </cell>
          <cell r="BD24">
            <v>2.0615768113618596</v>
          </cell>
          <cell r="BE24">
            <v>2.1054496252039145</v>
          </cell>
          <cell r="BF24">
            <v>2.2075658083481398</v>
          </cell>
          <cell r="BG24">
            <v>2.3473082782282702</v>
          </cell>
          <cell r="BH24">
            <v>2.5282427337418523</v>
          </cell>
          <cell r="BI24">
            <v>2.7537694059960058</v>
          </cell>
          <cell r="BJ24">
            <v>3.0274612446608513</v>
          </cell>
          <cell r="BL24">
            <v>25.282427337418522</v>
          </cell>
        </row>
        <row r="25">
          <cell r="A25">
            <v>10001709</v>
          </cell>
          <cell r="B25">
            <v>1</v>
          </cell>
          <cell r="C25" t="str">
            <v>SSG</v>
          </cell>
          <cell r="D25" t="str">
            <v>USD</v>
          </cell>
          <cell r="E25">
            <v>19</v>
          </cell>
          <cell r="F25" t="str">
            <v>F</v>
          </cell>
          <cell r="G25">
            <v>35309</v>
          </cell>
          <cell r="H25">
            <v>1</v>
          </cell>
          <cell r="I25">
            <v>10000</v>
          </cell>
          <cell r="J25">
            <v>394</v>
          </cell>
          <cell r="K25">
            <v>394</v>
          </cell>
          <cell r="L25">
            <v>394</v>
          </cell>
          <cell r="M25">
            <v>20</v>
          </cell>
          <cell r="N25">
            <v>20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T25">
            <v>10.64</v>
          </cell>
          <cell r="U25">
            <v>10.64</v>
          </cell>
          <cell r="W25">
            <v>3079.3932173685407</v>
          </cell>
          <cell r="X25">
            <v>0</v>
          </cell>
          <cell r="Y25">
            <v>0</v>
          </cell>
          <cell r="Z25">
            <v>21.28</v>
          </cell>
          <cell r="AB25">
            <v>404.53020461504821</v>
          </cell>
          <cell r="AC25">
            <v>0</v>
          </cell>
          <cell r="AD25">
            <v>0</v>
          </cell>
          <cell r="AE25">
            <v>10.64</v>
          </cell>
          <cell r="AH25">
            <v>85</v>
          </cell>
          <cell r="AI25">
            <v>84</v>
          </cell>
          <cell r="AJ25">
            <v>1</v>
          </cell>
          <cell r="AK25">
            <v>4.045302046150482E-2</v>
          </cell>
          <cell r="AL25">
            <v>0</v>
          </cell>
          <cell r="AM25">
            <v>0</v>
          </cell>
          <cell r="AN25">
            <v>4.0395720907982935E-2</v>
          </cell>
          <cell r="AO25">
            <v>8.1931841103799696E-2</v>
          </cell>
          <cell r="AP25">
            <v>0.12464311880363688</v>
          </cell>
          <cell r="AQ25">
            <v>0.16856539532411063</v>
          </cell>
          <cell r="AR25">
            <v>0.21372657561597203</v>
          </cell>
          <cell r="AS25">
            <v>0.26017409922010815</v>
          </cell>
          <cell r="AT25">
            <v>0.30793932173685407</v>
          </cell>
          <cell r="AU25">
            <v>0.35705629388389226</v>
          </cell>
          <cell r="AW25">
            <v>0</v>
          </cell>
          <cell r="AY25">
            <v>0</v>
          </cell>
          <cell r="AZ25">
            <v>0</v>
          </cell>
          <cell r="BA25">
            <v>1</v>
          </cell>
          <cell r="BC25">
            <v>0.13295803538851936</v>
          </cell>
          <cell r="BD25">
            <v>0.34162421871770154</v>
          </cell>
          <cell r="BE25">
            <v>0.65541749479378431</v>
          </cell>
          <cell r="BF25">
            <v>1.0984709014327554</v>
          </cell>
          <cell r="BG25">
            <v>1.6829790667996734</v>
          </cell>
          <cell r="BH25">
            <v>2.4224134017733565</v>
          </cell>
          <cell r="BI25">
            <v>3.3312019130265553</v>
          </cell>
          <cell r="BJ25">
            <v>4.424997917136209</v>
          </cell>
          <cell r="BL25">
            <v>24.224134017733565</v>
          </cell>
        </row>
        <row r="26">
          <cell r="A26">
            <v>10001709</v>
          </cell>
          <cell r="B26">
            <v>3</v>
          </cell>
          <cell r="C26" t="str">
            <v>CEG</v>
          </cell>
          <cell r="D26" t="str">
            <v>USD</v>
          </cell>
          <cell r="E26">
            <v>19</v>
          </cell>
          <cell r="F26" t="str">
            <v>F</v>
          </cell>
          <cell r="G26">
            <v>37135</v>
          </cell>
          <cell r="H26">
            <v>1</v>
          </cell>
          <cell r="I26">
            <v>2500</v>
          </cell>
          <cell r="J26">
            <v>484.5</v>
          </cell>
          <cell r="K26">
            <v>484.5</v>
          </cell>
          <cell r="L26">
            <v>484.5</v>
          </cell>
          <cell r="M26">
            <v>5</v>
          </cell>
          <cell r="N26">
            <v>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T26">
            <v>13.1</v>
          </cell>
          <cell r="U26">
            <v>13.1</v>
          </cell>
          <cell r="W26">
            <v>1388.0078552338871</v>
          </cell>
          <cell r="X26">
            <v>0</v>
          </cell>
          <cell r="Y26">
            <v>0</v>
          </cell>
          <cell r="Z26">
            <v>26.2</v>
          </cell>
          <cell r="AB26">
            <v>496.9374001920217</v>
          </cell>
          <cell r="AC26">
            <v>0</v>
          </cell>
          <cell r="AD26">
            <v>0</v>
          </cell>
          <cell r="AE26">
            <v>13.1</v>
          </cell>
          <cell r="AH26">
            <v>25</v>
          </cell>
          <cell r="AI26">
            <v>24</v>
          </cell>
          <cell r="AJ26">
            <v>1</v>
          </cell>
          <cell r="AK26">
            <v>0.19877496007680867</v>
          </cell>
          <cell r="AL26">
            <v>0</v>
          </cell>
          <cell r="AM26">
            <v>0.13480101715163539</v>
          </cell>
          <cell r="AN26">
            <v>0.34204254619835361</v>
          </cell>
          <cell r="AO26">
            <v>0.55520314209355481</v>
          </cell>
          <cell r="AP26">
            <v>0.77446104965555129</v>
          </cell>
          <cell r="AQ26">
            <v>1</v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W26">
            <v>0</v>
          </cell>
          <cell r="AY26">
            <v>0</v>
          </cell>
          <cell r="AZ26">
            <v>0</v>
          </cell>
          <cell r="BA26">
            <v>1</v>
          </cell>
          <cell r="BC26">
            <v>3.0409310988325986</v>
          </cell>
          <cell r="BD26">
            <v>11.987162780558805</v>
          </cell>
          <cell r="BE26">
            <v>19.306976132406419</v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L26">
            <v>7.6023277470814961</v>
          </cell>
        </row>
        <row r="27">
          <cell r="A27">
            <v>10001709</v>
          </cell>
          <cell r="B27">
            <v>4</v>
          </cell>
          <cell r="C27" t="str">
            <v>NI</v>
          </cell>
          <cell r="D27" t="str">
            <v>USD</v>
          </cell>
          <cell r="E27">
            <v>19</v>
          </cell>
          <cell r="F27" t="str">
            <v>F</v>
          </cell>
          <cell r="G27">
            <v>38961</v>
          </cell>
          <cell r="H27">
            <v>1</v>
          </cell>
          <cell r="I27">
            <v>2500</v>
          </cell>
          <cell r="J27">
            <v>484.75</v>
          </cell>
          <cell r="K27">
            <v>484.75</v>
          </cell>
          <cell r="L27">
            <v>484.75</v>
          </cell>
          <cell r="M27">
            <v>5</v>
          </cell>
          <cell r="N27">
            <v>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J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L27">
            <v>0</v>
          </cell>
        </row>
        <row r="28">
          <cell r="A28">
            <v>10001709</v>
          </cell>
          <cell r="B28">
            <v>5</v>
          </cell>
          <cell r="C28" t="str">
            <v>NI</v>
          </cell>
          <cell r="D28" t="str">
            <v>USD</v>
          </cell>
          <cell r="E28">
            <v>19</v>
          </cell>
          <cell r="F28" t="str">
            <v>F</v>
          </cell>
          <cell r="G28">
            <v>40787</v>
          </cell>
          <cell r="H28">
            <v>1</v>
          </cell>
          <cell r="I28">
            <v>2500</v>
          </cell>
          <cell r="J28">
            <v>485.25</v>
          </cell>
          <cell r="K28">
            <v>485.25</v>
          </cell>
          <cell r="L28">
            <v>485.25</v>
          </cell>
          <cell r="M28">
            <v>5</v>
          </cell>
          <cell r="N28">
            <v>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J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L28">
            <v>0</v>
          </cell>
        </row>
        <row r="29">
          <cell r="A29">
            <v>10001771</v>
          </cell>
          <cell r="B29">
            <v>0</v>
          </cell>
          <cell r="C29" t="str">
            <v>LSG</v>
          </cell>
          <cell r="D29" t="str">
            <v>USD</v>
          </cell>
          <cell r="E29">
            <v>40</v>
          </cell>
          <cell r="F29" t="str">
            <v>M</v>
          </cell>
          <cell r="G29">
            <v>35335</v>
          </cell>
          <cell r="H29">
            <v>1</v>
          </cell>
          <cell r="I29">
            <v>30000</v>
          </cell>
          <cell r="J29">
            <v>3960.77</v>
          </cell>
          <cell r="K29">
            <v>726</v>
          </cell>
          <cell r="L29">
            <v>726</v>
          </cell>
          <cell r="M29">
            <v>20</v>
          </cell>
          <cell r="N29">
            <v>45</v>
          </cell>
          <cell r="O29">
            <v>30000</v>
          </cell>
          <cell r="P29">
            <v>45</v>
          </cell>
          <cell r="Q29">
            <v>0</v>
          </cell>
          <cell r="R29">
            <v>0</v>
          </cell>
          <cell r="T29">
            <v>202.54</v>
          </cell>
          <cell r="U29">
            <v>37.749999999999972</v>
          </cell>
          <cell r="W29">
            <v>6218.331350977619</v>
          </cell>
          <cell r="X29">
            <v>45</v>
          </cell>
          <cell r="Y29">
            <v>0</v>
          </cell>
          <cell r="Z29">
            <v>75.499999999999943</v>
          </cell>
          <cell r="AB29">
            <v>907.99673747050713</v>
          </cell>
          <cell r="AC29">
            <v>45</v>
          </cell>
          <cell r="AD29">
            <v>0</v>
          </cell>
          <cell r="AE29">
            <v>37.749999999999972</v>
          </cell>
          <cell r="AH29">
            <v>85</v>
          </cell>
          <cell r="AI29">
            <v>84</v>
          </cell>
          <cell r="AJ29">
            <v>1</v>
          </cell>
          <cell r="AK29">
            <v>3.026655791568357E-2</v>
          </cell>
          <cell r="AL29">
            <v>0</v>
          </cell>
          <cell r="AM29">
            <v>0</v>
          </cell>
          <cell r="AN29">
            <v>2.7773874910558882E-2</v>
          </cell>
          <cell r="AO29">
            <v>5.6134804854976017E-2</v>
          </cell>
          <cell r="AP29">
            <v>8.509031421313179E-2</v>
          </cell>
          <cell r="AQ29">
            <v>0.11466025141102387</v>
          </cell>
          <cell r="AR29">
            <v>0.14486751995256753</v>
          </cell>
          <cell r="AS29">
            <v>0.17573000262305816</v>
          </cell>
          <cell r="AT29">
            <v>0.20727771169925396</v>
          </cell>
          <cell r="AU29">
            <v>0.23953677155553477</v>
          </cell>
          <cell r="AW29">
            <v>0</v>
          </cell>
          <cell r="AY29">
            <v>1</v>
          </cell>
          <cell r="AZ29">
            <v>0</v>
          </cell>
          <cell r="BA29">
            <v>1</v>
          </cell>
          <cell r="BC29">
            <v>0.88013567707859952</v>
          </cell>
          <cell r="BD29">
            <v>1.3956982423700084</v>
          </cell>
          <cell r="BE29">
            <v>1.6865797579109998</v>
          </cell>
          <cell r="BF29">
            <v>2.0764976386846818</v>
          </cell>
          <cell r="BG29">
            <v>2.5723950011492462</v>
          </cell>
          <cell r="BH29">
            <v>3.1815740926795559</v>
          </cell>
          <cell r="BI29">
            <v>3.9121264332948495</v>
          </cell>
          <cell r="BJ29">
            <v>4.7726252508494795</v>
          </cell>
          <cell r="BL29">
            <v>95.447222780386682</v>
          </cell>
        </row>
        <row r="30">
          <cell r="A30">
            <v>10001771</v>
          </cell>
          <cell r="B30">
            <v>1</v>
          </cell>
          <cell r="C30" t="str">
            <v>SSG</v>
          </cell>
          <cell r="D30" t="str">
            <v>USD</v>
          </cell>
          <cell r="E30">
            <v>40</v>
          </cell>
          <cell r="F30" t="str">
            <v>M</v>
          </cell>
          <cell r="G30">
            <v>35335</v>
          </cell>
          <cell r="H30">
            <v>1</v>
          </cell>
          <cell r="I30">
            <v>30000</v>
          </cell>
          <cell r="J30">
            <v>1272</v>
          </cell>
          <cell r="K30">
            <v>1272</v>
          </cell>
          <cell r="L30">
            <v>1272</v>
          </cell>
          <cell r="M30">
            <v>20</v>
          </cell>
          <cell r="N30">
            <v>20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T30">
            <v>66.14</v>
          </cell>
          <cell r="U30">
            <v>66.14</v>
          </cell>
          <cell r="W30">
            <v>9213.7179814788724</v>
          </cell>
          <cell r="X30">
            <v>0</v>
          </cell>
          <cell r="Y30">
            <v>0</v>
          </cell>
          <cell r="Z30">
            <v>132.28</v>
          </cell>
          <cell r="AB30">
            <v>1283.8963506590919</v>
          </cell>
          <cell r="AC30">
            <v>0</v>
          </cell>
          <cell r="AD30">
            <v>0</v>
          </cell>
          <cell r="AE30">
            <v>66.14</v>
          </cell>
          <cell r="AH30">
            <v>85</v>
          </cell>
          <cell r="AI30">
            <v>84</v>
          </cell>
          <cell r="AJ30">
            <v>1</v>
          </cell>
          <cell r="AK30">
            <v>4.279654502196973E-2</v>
          </cell>
          <cell r="AL30">
            <v>0</v>
          </cell>
          <cell r="AM30">
            <v>0</v>
          </cell>
          <cell r="AN30">
            <v>4.0692618766254407E-2</v>
          </cell>
          <cell r="AO30">
            <v>8.2380748368848566E-2</v>
          </cell>
          <cell r="AP30">
            <v>0.1250937969608179</v>
          </cell>
          <cell r="AQ30">
            <v>0.16887531149856316</v>
          </cell>
          <cell r="AR30">
            <v>0.21377398351688226</v>
          </cell>
          <cell r="AS30">
            <v>0.25983658137028648</v>
          </cell>
          <cell r="AT30">
            <v>0.30712393271596239</v>
          </cell>
          <cell r="AU30">
            <v>0.35569680077635996</v>
          </cell>
          <cell r="AW30">
            <v>0</v>
          </cell>
          <cell r="AY30">
            <v>0</v>
          </cell>
          <cell r="AZ30">
            <v>0</v>
          </cell>
          <cell r="BA30">
            <v>1</v>
          </cell>
          <cell r="BC30">
            <v>0.14435709170936395</v>
          </cell>
          <cell r="BD30">
            <v>0.36763511964427364</v>
          </cell>
          <cell r="BE30">
            <v>0.68669715292446409</v>
          </cell>
          <cell r="BF30">
            <v>1.1342556998720044</v>
          </cell>
          <cell r="BG30">
            <v>1.7217817746659907</v>
          </cell>
          <cell r="BH30">
            <v>2.4617891323975618</v>
          </cell>
          <cell r="BI30">
            <v>3.3681612531062628</v>
          </cell>
          <cell r="BJ30">
            <v>4.4561225712936956</v>
          </cell>
          <cell r="BL30">
            <v>73.853673971926852</v>
          </cell>
        </row>
        <row r="31">
          <cell r="A31">
            <v>10001771</v>
          </cell>
          <cell r="B31">
            <v>3</v>
          </cell>
          <cell r="C31" t="str">
            <v>CEG</v>
          </cell>
          <cell r="D31" t="str">
            <v>USD</v>
          </cell>
          <cell r="E31">
            <v>40</v>
          </cell>
          <cell r="F31" t="str">
            <v>M</v>
          </cell>
          <cell r="G31">
            <v>37161</v>
          </cell>
          <cell r="H31">
            <v>1</v>
          </cell>
          <cell r="I31">
            <v>10050</v>
          </cell>
          <cell r="J31">
            <v>1962.77</v>
          </cell>
          <cell r="K31">
            <v>1962.77</v>
          </cell>
          <cell r="L31">
            <v>1962.77</v>
          </cell>
          <cell r="M31">
            <v>5</v>
          </cell>
          <cell r="N31">
            <v>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>
            <v>98.65</v>
          </cell>
          <cell r="U31">
            <v>98.65</v>
          </cell>
          <cell r="W31">
            <v>5571.9690107209062</v>
          </cell>
          <cell r="X31">
            <v>0</v>
          </cell>
          <cell r="Y31">
            <v>0</v>
          </cell>
          <cell r="Z31">
            <v>197.3</v>
          </cell>
          <cell r="AB31">
            <v>2004.3903489028705</v>
          </cell>
          <cell r="AC31">
            <v>0</v>
          </cell>
          <cell r="AD31">
            <v>0</v>
          </cell>
          <cell r="AE31">
            <v>98.65</v>
          </cell>
          <cell r="AH31">
            <v>25</v>
          </cell>
          <cell r="AI31">
            <v>24</v>
          </cell>
          <cell r="AJ31">
            <v>1</v>
          </cell>
          <cell r="AK31">
            <v>0.19944182576147965</v>
          </cell>
          <cell r="AL31">
            <v>0</v>
          </cell>
          <cell r="AM31">
            <v>0.13491051213627081</v>
          </cell>
          <cell r="AN31">
            <v>0.34156248564433334</v>
          </cell>
          <cell r="AO31">
            <v>0.55442477718615979</v>
          </cell>
          <cell r="AP31">
            <v>0.77379418397088073</v>
          </cell>
          <cell r="AQ31">
            <v>1</v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W31">
            <v>0</v>
          </cell>
          <cell r="AY31">
            <v>0</v>
          </cell>
          <cell r="AZ31">
            <v>0</v>
          </cell>
          <cell r="BA31">
            <v>1</v>
          </cell>
          <cell r="BC31">
            <v>3.0535386014819568</v>
          </cell>
          <cell r="BD31">
            <v>11.988069614999818</v>
          </cell>
          <cell r="BE31">
            <v>19.307606507538885</v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L31">
            <v>30.688062944893666</v>
          </cell>
        </row>
        <row r="32">
          <cell r="A32">
            <v>10001771</v>
          </cell>
          <cell r="B32">
            <v>4</v>
          </cell>
          <cell r="C32" t="str">
            <v>NI</v>
          </cell>
          <cell r="D32" t="str">
            <v>USD</v>
          </cell>
          <cell r="E32">
            <v>40</v>
          </cell>
          <cell r="F32" t="str">
            <v>M</v>
          </cell>
          <cell r="G32">
            <v>38987</v>
          </cell>
          <cell r="H32">
            <v>1</v>
          </cell>
          <cell r="I32">
            <v>10050</v>
          </cell>
          <cell r="J32">
            <v>1972.82</v>
          </cell>
          <cell r="K32">
            <v>1972.82</v>
          </cell>
          <cell r="L32">
            <v>1972.82</v>
          </cell>
          <cell r="M32">
            <v>5</v>
          </cell>
          <cell r="N32">
            <v>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J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L32">
            <v>0</v>
          </cell>
        </row>
        <row r="33">
          <cell r="A33">
            <v>10001888</v>
          </cell>
          <cell r="B33">
            <v>0</v>
          </cell>
          <cell r="C33" t="str">
            <v>LSG</v>
          </cell>
          <cell r="D33" t="str">
            <v>USD</v>
          </cell>
          <cell r="E33">
            <v>43</v>
          </cell>
          <cell r="F33" t="str">
            <v>M</v>
          </cell>
          <cell r="G33">
            <v>35397</v>
          </cell>
          <cell r="H33">
            <v>1</v>
          </cell>
          <cell r="I33">
            <v>20000</v>
          </cell>
          <cell r="J33">
            <v>2733.86</v>
          </cell>
          <cell r="K33">
            <v>550.00000000000023</v>
          </cell>
          <cell r="L33">
            <v>550.00000000000023</v>
          </cell>
          <cell r="M33">
            <v>20</v>
          </cell>
          <cell r="N33">
            <v>42</v>
          </cell>
          <cell r="O33">
            <v>20000</v>
          </cell>
          <cell r="P33">
            <v>50</v>
          </cell>
          <cell r="Q33">
            <v>0</v>
          </cell>
          <cell r="R33">
            <v>0</v>
          </cell>
          <cell r="T33">
            <v>171.49</v>
          </cell>
          <cell r="U33">
            <v>34.650000000000006</v>
          </cell>
          <cell r="W33">
            <v>3725.7845314682559</v>
          </cell>
          <cell r="X33">
            <v>50</v>
          </cell>
          <cell r="Y33">
            <v>0</v>
          </cell>
          <cell r="Z33">
            <v>69.300000000000011</v>
          </cell>
          <cell r="AB33">
            <v>656.30293023270428</v>
          </cell>
          <cell r="AC33">
            <v>50</v>
          </cell>
          <cell r="AD33">
            <v>0</v>
          </cell>
          <cell r="AE33">
            <v>34.650000000000006</v>
          </cell>
          <cell r="AH33">
            <v>83</v>
          </cell>
          <cell r="AI33">
            <v>72</v>
          </cell>
          <cell r="AJ33">
            <v>1</v>
          </cell>
          <cell r="AK33">
            <v>3.2815146511635217E-2</v>
          </cell>
          <cell r="AL33">
            <v>0</v>
          </cell>
          <cell r="AM33">
            <v>0</v>
          </cell>
          <cell r="AN33">
            <v>2.9476374798574845E-2</v>
          </cell>
          <cell r="AO33">
            <v>5.9556239157455559E-2</v>
          </cell>
          <cell r="AP33">
            <v>9.0253697707252001E-2</v>
          </cell>
          <cell r="AQ33">
            <v>0.12159566144268469</v>
          </cell>
          <cell r="AR33">
            <v>0.15360412178009081</v>
          </cell>
          <cell r="AS33">
            <v>0.18628922657341279</v>
          </cell>
          <cell r="AT33">
            <v>0.21966741525164818</v>
          </cell>
          <cell r="AU33">
            <v>0.25373180589072003</v>
          </cell>
          <cell r="AW33">
            <v>0</v>
          </cell>
          <cell r="AY33">
            <v>1</v>
          </cell>
          <cell r="AZ33">
            <v>0</v>
          </cell>
          <cell r="BA33">
            <v>1</v>
          </cell>
          <cell r="BC33">
            <v>0.53590531360793836</v>
          </cell>
          <cell r="BD33">
            <v>1.0276756411921708</v>
          </cell>
          <cell r="BE33">
            <v>1.3621653210229332</v>
          </cell>
          <cell r="BF33">
            <v>1.8084475635326809</v>
          </cell>
          <cell r="BG33">
            <v>2.3742713009972318</v>
          </cell>
          <cell r="BH33">
            <v>3.0675779395809419</v>
          </cell>
          <cell r="BI33">
            <v>3.8968167294464209</v>
          </cell>
          <cell r="BJ33">
            <v>4.8700204045649338</v>
          </cell>
          <cell r="BL33">
            <v>47.485426019944633</v>
          </cell>
        </row>
        <row r="34">
          <cell r="A34">
            <v>10001888</v>
          </cell>
          <cell r="B34">
            <v>1</v>
          </cell>
          <cell r="C34" t="str">
            <v>SSG</v>
          </cell>
          <cell r="D34" t="str">
            <v>USD</v>
          </cell>
          <cell r="E34">
            <v>43</v>
          </cell>
          <cell r="F34" t="str">
            <v>M</v>
          </cell>
          <cell r="G34">
            <v>35397</v>
          </cell>
          <cell r="H34">
            <v>1</v>
          </cell>
          <cell r="I34">
            <v>20000</v>
          </cell>
          <cell r="J34">
            <v>872</v>
          </cell>
          <cell r="K34">
            <v>872</v>
          </cell>
          <cell r="L34">
            <v>872</v>
          </cell>
          <cell r="M34">
            <v>20</v>
          </cell>
          <cell r="N34">
            <v>20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54.94</v>
          </cell>
          <cell r="U34">
            <v>54.94</v>
          </cell>
          <cell r="W34">
            <v>5191.932828932011</v>
          </cell>
          <cell r="X34">
            <v>0</v>
          </cell>
          <cell r="Y34">
            <v>0</v>
          </cell>
          <cell r="Z34">
            <v>109.88</v>
          </cell>
          <cell r="AB34">
            <v>873.78597681330996</v>
          </cell>
          <cell r="AC34">
            <v>0</v>
          </cell>
          <cell r="AD34">
            <v>0</v>
          </cell>
          <cell r="AE34">
            <v>54.94</v>
          </cell>
          <cell r="AH34">
            <v>83</v>
          </cell>
          <cell r="AI34">
            <v>72</v>
          </cell>
          <cell r="AJ34">
            <v>1</v>
          </cell>
          <cell r="AK34">
            <v>4.3689298840665497E-2</v>
          </cell>
          <cell r="AL34">
            <v>0</v>
          </cell>
          <cell r="AM34">
            <v>0</v>
          </cell>
          <cell r="AN34">
            <v>4.0698607473442783E-2</v>
          </cell>
          <cell r="AO34">
            <v>8.236817520647266E-2</v>
          </cell>
          <cell r="AP34">
            <v>0.12504428130370948</v>
          </cell>
          <cell r="AQ34">
            <v>0.16877709091108362</v>
          </cell>
          <cell r="AR34">
            <v>0.21361449399909688</v>
          </cell>
          <cell r="AS34">
            <v>0.25959664144660055</v>
          </cell>
          <cell r="AT34">
            <v>0.30677371968294637</v>
          </cell>
          <cell r="AU34">
            <v>0.35518078089121152</v>
          </cell>
          <cell r="AW34">
            <v>0</v>
          </cell>
          <cell r="AY34">
            <v>0</v>
          </cell>
          <cell r="AZ34">
            <v>0</v>
          </cell>
          <cell r="BA34">
            <v>1</v>
          </cell>
          <cell r="BC34">
            <v>0.14873985231691553</v>
          </cell>
          <cell r="BD34">
            <v>0.37550005695100225</v>
          </cell>
          <cell r="BE34">
            <v>0.69568170357888426</v>
          </cell>
          <cell r="BF34">
            <v>1.1443651647399653</v>
          </cell>
          <cell r="BG34">
            <v>1.7328896793269806</v>
          </cell>
          <cell r="BH34">
            <v>2.4735318191775097</v>
          </cell>
          <cell r="BI34">
            <v>3.3797978748897579</v>
          </cell>
          <cell r="BJ34">
            <v>4.4661340507869687</v>
          </cell>
          <cell r="BL34">
            <v>34.657793586539611</v>
          </cell>
        </row>
        <row r="35">
          <cell r="A35">
            <v>10001888</v>
          </cell>
          <cell r="B35">
            <v>3</v>
          </cell>
          <cell r="C35" t="str">
            <v>CEG</v>
          </cell>
          <cell r="D35" t="str">
            <v>USD</v>
          </cell>
          <cell r="E35">
            <v>43</v>
          </cell>
          <cell r="F35" t="str">
            <v>M</v>
          </cell>
          <cell r="G35">
            <v>37223</v>
          </cell>
          <cell r="H35">
            <v>1</v>
          </cell>
          <cell r="I35">
            <v>6700</v>
          </cell>
          <cell r="J35">
            <v>1311.86</v>
          </cell>
          <cell r="K35">
            <v>1311.86</v>
          </cell>
          <cell r="L35">
            <v>1311.86</v>
          </cell>
          <cell r="M35">
            <v>5</v>
          </cell>
          <cell r="N35">
            <v>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>
            <v>81.900000000000006</v>
          </cell>
          <cell r="U35">
            <v>81.900000000000006</v>
          </cell>
          <cell r="W35">
            <v>2287.2907614681872</v>
          </cell>
          <cell r="X35">
            <v>0</v>
          </cell>
          <cell r="Y35">
            <v>0</v>
          </cell>
          <cell r="Z35">
            <v>163.80000000000001</v>
          </cell>
          <cell r="AB35">
            <v>1338.0366825284473</v>
          </cell>
          <cell r="AC35">
            <v>0</v>
          </cell>
          <cell r="AD35">
            <v>0</v>
          </cell>
          <cell r="AE35">
            <v>81.900000000000006</v>
          </cell>
          <cell r="AH35">
            <v>23</v>
          </cell>
          <cell r="AI35">
            <v>12</v>
          </cell>
          <cell r="AJ35">
            <v>1</v>
          </cell>
          <cell r="AK35">
            <v>0.19970696754155928</v>
          </cell>
          <cell r="AL35">
            <v>0</v>
          </cell>
          <cell r="AM35">
            <v>0.13501152605386402</v>
          </cell>
          <cell r="AN35">
            <v>0.34138668081614731</v>
          </cell>
          <cell r="AO35">
            <v>0.55411448439480449</v>
          </cell>
          <cell r="AP35">
            <v>0.77352904219080088</v>
          </cell>
          <cell r="AQ35">
            <v>1</v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W35">
            <v>0</v>
          </cell>
          <cell r="AY35">
            <v>0</v>
          </cell>
          <cell r="AZ35">
            <v>0</v>
          </cell>
          <cell r="BA35">
            <v>1</v>
          </cell>
          <cell r="BC35">
            <v>3.0589645379287358</v>
          </cell>
          <cell r="BD35">
            <v>11.98821956719854</v>
          </cell>
          <cell r="BE35">
            <v>19.307877804361226</v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L35">
            <v>0</v>
          </cell>
        </row>
        <row r="36">
          <cell r="A36">
            <v>10001888</v>
          </cell>
          <cell r="B36">
            <v>4</v>
          </cell>
          <cell r="C36" t="str">
            <v>NI</v>
          </cell>
          <cell r="D36" t="str">
            <v>USD</v>
          </cell>
          <cell r="E36">
            <v>43</v>
          </cell>
          <cell r="F36" t="str">
            <v>M</v>
          </cell>
          <cell r="G36">
            <v>39049</v>
          </cell>
          <cell r="H36">
            <v>1</v>
          </cell>
          <cell r="I36">
            <v>6700</v>
          </cell>
          <cell r="J36">
            <v>1321.24</v>
          </cell>
          <cell r="K36">
            <v>1321.24</v>
          </cell>
          <cell r="L36">
            <v>1321.24</v>
          </cell>
          <cell r="M36">
            <v>5</v>
          </cell>
          <cell r="N36">
            <v>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J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L36">
            <v>0</v>
          </cell>
        </row>
        <row r="37">
          <cell r="A37">
            <v>10002084</v>
          </cell>
          <cell r="B37">
            <v>0</v>
          </cell>
          <cell r="C37" t="str">
            <v>LSG</v>
          </cell>
          <cell r="D37" t="str">
            <v>USD</v>
          </cell>
          <cell r="E37">
            <v>43</v>
          </cell>
          <cell r="F37" t="str">
            <v>M</v>
          </cell>
          <cell r="G37">
            <v>35515</v>
          </cell>
          <cell r="H37">
            <v>1</v>
          </cell>
          <cell r="I37">
            <v>10000</v>
          </cell>
          <cell r="J37">
            <v>1560.56</v>
          </cell>
          <cell r="K37">
            <v>275</v>
          </cell>
          <cell r="L37">
            <v>275</v>
          </cell>
          <cell r="M37">
            <v>20</v>
          </cell>
          <cell r="N37">
            <v>42</v>
          </cell>
          <cell r="O37">
            <v>10000</v>
          </cell>
          <cell r="P37">
            <v>25</v>
          </cell>
          <cell r="Q37">
            <v>0</v>
          </cell>
          <cell r="R37">
            <v>0</v>
          </cell>
          <cell r="T37">
            <v>93.57</v>
          </cell>
          <cell r="U37">
            <v>17.329999999999991</v>
          </cell>
          <cell r="W37">
            <v>1862.8922657341279</v>
          </cell>
          <cell r="X37">
            <v>25</v>
          </cell>
          <cell r="Y37">
            <v>0</v>
          </cell>
          <cell r="Z37">
            <v>34.659999999999982</v>
          </cell>
          <cell r="AB37">
            <v>328.15146511635214</v>
          </cell>
          <cell r="AC37">
            <v>25</v>
          </cell>
          <cell r="AD37">
            <v>0</v>
          </cell>
          <cell r="AE37">
            <v>17.329999999999991</v>
          </cell>
          <cell r="AH37">
            <v>79</v>
          </cell>
          <cell r="AI37">
            <v>72</v>
          </cell>
          <cell r="AJ37">
            <v>1</v>
          </cell>
          <cell r="AK37">
            <v>3.2815146511635217E-2</v>
          </cell>
          <cell r="AL37">
            <v>0</v>
          </cell>
          <cell r="AM37">
            <v>0</v>
          </cell>
          <cell r="AN37">
            <v>2.9476374798574845E-2</v>
          </cell>
          <cell r="AO37">
            <v>5.9556239157455559E-2</v>
          </cell>
          <cell r="AP37">
            <v>9.0253697707252001E-2</v>
          </cell>
          <cell r="AQ37">
            <v>0.12159566144268469</v>
          </cell>
          <cell r="AR37">
            <v>0.15360412178009081</v>
          </cell>
          <cell r="AS37">
            <v>0.18628922657341279</v>
          </cell>
          <cell r="AT37">
            <v>0.21966741525164818</v>
          </cell>
          <cell r="AU37">
            <v>0.25373180589072003</v>
          </cell>
          <cell r="AW37">
            <v>0</v>
          </cell>
          <cell r="AY37">
            <v>1</v>
          </cell>
          <cell r="AZ37">
            <v>0</v>
          </cell>
          <cell r="BA37">
            <v>1</v>
          </cell>
          <cell r="BC37">
            <v>0.53590531360793836</v>
          </cell>
          <cell r="BD37">
            <v>1.0276756411921708</v>
          </cell>
          <cell r="BE37">
            <v>1.3621653210229332</v>
          </cell>
          <cell r="BF37">
            <v>1.8084475635326809</v>
          </cell>
          <cell r="BG37">
            <v>2.3742713009972318</v>
          </cell>
          <cell r="BH37">
            <v>3.0675779395809419</v>
          </cell>
          <cell r="BI37">
            <v>3.8968167294464209</v>
          </cell>
          <cell r="BJ37">
            <v>4.8700204045649338</v>
          </cell>
          <cell r="BL37">
            <v>23.742713009972316</v>
          </cell>
        </row>
        <row r="38">
          <cell r="A38">
            <v>10002084</v>
          </cell>
          <cell r="B38">
            <v>1</v>
          </cell>
          <cell r="C38" t="str">
            <v>SSG</v>
          </cell>
          <cell r="D38" t="str">
            <v>USD</v>
          </cell>
          <cell r="E38">
            <v>43</v>
          </cell>
          <cell r="F38" t="str">
            <v>M</v>
          </cell>
          <cell r="G38">
            <v>35515</v>
          </cell>
          <cell r="H38">
            <v>1</v>
          </cell>
          <cell r="I38">
            <v>10000</v>
          </cell>
          <cell r="J38">
            <v>436</v>
          </cell>
          <cell r="K38">
            <v>436</v>
          </cell>
          <cell r="L38">
            <v>436</v>
          </cell>
          <cell r="M38">
            <v>20</v>
          </cell>
          <cell r="N38">
            <v>20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T38">
            <v>27.47</v>
          </cell>
          <cell r="U38">
            <v>27.47</v>
          </cell>
          <cell r="W38">
            <v>2595.9664144660055</v>
          </cell>
          <cell r="X38">
            <v>0</v>
          </cell>
          <cell r="Y38">
            <v>0</v>
          </cell>
          <cell r="Z38">
            <v>54.94</v>
          </cell>
          <cell r="AB38">
            <v>436.89298840665498</v>
          </cell>
          <cell r="AC38">
            <v>0</v>
          </cell>
          <cell r="AD38">
            <v>0</v>
          </cell>
          <cell r="AE38">
            <v>27.47</v>
          </cell>
          <cell r="AH38">
            <v>79</v>
          </cell>
          <cell r="AI38">
            <v>72</v>
          </cell>
          <cell r="AJ38">
            <v>1</v>
          </cell>
          <cell r="AK38">
            <v>4.3689298840665497E-2</v>
          </cell>
          <cell r="AL38">
            <v>0</v>
          </cell>
          <cell r="AM38">
            <v>0</v>
          </cell>
          <cell r="AN38">
            <v>4.0698607473442783E-2</v>
          </cell>
          <cell r="AO38">
            <v>8.236817520647266E-2</v>
          </cell>
          <cell r="AP38">
            <v>0.12504428130370948</v>
          </cell>
          <cell r="AQ38">
            <v>0.16877709091108362</v>
          </cell>
          <cell r="AR38">
            <v>0.21361449399909688</v>
          </cell>
          <cell r="AS38">
            <v>0.25959664144660055</v>
          </cell>
          <cell r="AT38">
            <v>0.30677371968294637</v>
          </cell>
          <cell r="AU38">
            <v>0.35518078089121152</v>
          </cell>
          <cell r="AW38">
            <v>0</v>
          </cell>
          <cell r="AY38">
            <v>0</v>
          </cell>
          <cell r="AZ38">
            <v>0</v>
          </cell>
          <cell r="BA38">
            <v>1</v>
          </cell>
          <cell r="BC38">
            <v>0.14873985231691553</v>
          </cell>
          <cell r="BD38">
            <v>0.37550005695100225</v>
          </cell>
          <cell r="BE38">
            <v>0.69568170357888426</v>
          </cell>
          <cell r="BF38">
            <v>1.1443651647399653</v>
          </cell>
          <cell r="BG38">
            <v>1.7328896793269806</v>
          </cell>
          <cell r="BH38">
            <v>2.4735318191775097</v>
          </cell>
          <cell r="BI38">
            <v>3.3797978748897579</v>
          </cell>
          <cell r="BJ38">
            <v>4.4661340507869687</v>
          </cell>
          <cell r="BL38">
            <v>17.328896793269806</v>
          </cell>
        </row>
        <row r="39">
          <cell r="A39">
            <v>10002084</v>
          </cell>
          <cell r="B39">
            <v>2</v>
          </cell>
          <cell r="C39" t="str">
            <v>CEG</v>
          </cell>
          <cell r="D39" t="str">
            <v>USD</v>
          </cell>
          <cell r="E39">
            <v>43</v>
          </cell>
          <cell r="F39" t="str">
            <v>M</v>
          </cell>
          <cell r="G39">
            <v>35515</v>
          </cell>
          <cell r="H39">
            <v>1</v>
          </cell>
          <cell r="I39">
            <v>3350</v>
          </cell>
          <cell r="J39">
            <v>193.63</v>
          </cell>
          <cell r="K39">
            <v>193.63</v>
          </cell>
          <cell r="L39">
            <v>193.63</v>
          </cell>
          <cell r="M39">
            <v>15</v>
          </cell>
          <cell r="N39">
            <v>15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T39">
            <v>12.03</v>
          </cell>
          <cell r="U39">
            <v>12.03</v>
          </cell>
          <cell r="W39">
            <v>1271.8991570219816</v>
          </cell>
          <cell r="X39">
            <v>0</v>
          </cell>
          <cell r="Y39">
            <v>0</v>
          </cell>
          <cell r="Z39">
            <v>24.06</v>
          </cell>
          <cell r="AB39">
            <v>201.01370186010175</v>
          </cell>
          <cell r="AC39">
            <v>0</v>
          </cell>
          <cell r="AD39">
            <v>0</v>
          </cell>
          <cell r="AE39">
            <v>12.03</v>
          </cell>
          <cell r="AH39">
            <v>79</v>
          </cell>
          <cell r="AI39">
            <v>72</v>
          </cell>
          <cell r="AJ39">
            <v>1</v>
          </cell>
          <cell r="AK39">
            <v>6.0004090107493059E-2</v>
          </cell>
          <cell r="AL39">
            <v>0</v>
          </cell>
          <cell r="AM39">
            <v>1.2786439116139192E-3</v>
          </cell>
          <cell r="AN39">
            <v>6.0159639358674522E-2</v>
          </cell>
          <cell r="AO39">
            <v>0.12062308350228979</v>
          </cell>
          <cell r="AP39">
            <v>0.18273099895031253</v>
          </cell>
          <cell r="AQ39">
            <v>0.24655770771309604</v>
          </cell>
          <cell r="AR39">
            <v>0.31217927536255763</v>
          </cell>
          <cell r="AS39">
            <v>0.37967139015581541</v>
          </cell>
          <cell r="AT39">
            <v>0.44912111482515327</v>
          </cell>
          <cell r="AU39">
            <v>0.52061457841071879</v>
          </cell>
          <cell r="AW39">
            <v>0</v>
          </cell>
          <cell r="AY39">
            <v>0</v>
          </cell>
          <cell r="AZ39">
            <v>0</v>
          </cell>
          <cell r="BA39">
            <v>1</v>
          </cell>
          <cell r="BC39">
            <v>0.78769936762937309</v>
          </cell>
          <cell r="BD39">
            <v>1.7972722258072347</v>
          </cell>
          <cell r="BE39">
            <v>2.6716203161342555</v>
          </cell>
          <cell r="BF39">
            <v>3.8664783136977787</v>
          </cell>
          <cell r="BG39">
            <v>5.4121453399096833</v>
          </cell>
          <cell r="BH39">
            <v>7.3416682215353744</v>
          </cell>
          <cell r="BI39">
            <v>9.6912393648960506</v>
          </cell>
          <cell r="BJ39">
            <v>12.500324644662392</v>
          </cell>
          <cell r="BL39">
            <v>18.13068688869744</v>
          </cell>
        </row>
        <row r="40">
          <cell r="A40">
            <v>10002084</v>
          </cell>
          <cell r="B40">
            <v>4</v>
          </cell>
          <cell r="C40" t="str">
            <v>CEG</v>
          </cell>
          <cell r="D40" t="str">
            <v>USD</v>
          </cell>
          <cell r="E40">
            <v>43</v>
          </cell>
          <cell r="F40" t="str">
            <v>M</v>
          </cell>
          <cell r="G40">
            <v>37341</v>
          </cell>
          <cell r="H40">
            <v>1</v>
          </cell>
          <cell r="I40">
            <v>3350</v>
          </cell>
          <cell r="J40">
            <v>655.93</v>
          </cell>
          <cell r="K40">
            <v>655.93</v>
          </cell>
          <cell r="L40">
            <v>655.93</v>
          </cell>
          <cell r="M40">
            <v>5</v>
          </cell>
          <cell r="N40">
            <v>5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T40">
            <v>36.74</v>
          </cell>
          <cell r="U40">
            <v>36.74</v>
          </cell>
          <cell r="W40">
            <v>1143.6453807340936</v>
          </cell>
          <cell r="X40">
            <v>0</v>
          </cell>
          <cell r="Y40">
            <v>0</v>
          </cell>
          <cell r="Z40">
            <v>73.48</v>
          </cell>
          <cell r="AB40">
            <v>669.01834126422364</v>
          </cell>
          <cell r="AC40">
            <v>0</v>
          </cell>
          <cell r="AD40">
            <v>0</v>
          </cell>
          <cell r="AE40">
            <v>36.74</v>
          </cell>
          <cell r="AH40">
            <v>19</v>
          </cell>
          <cell r="AI40">
            <v>12</v>
          </cell>
          <cell r="AJ40">
            <v>1</v>
          </cell>
          <cell r="AK40">
            <v>0.19970696754155928</v>
          </cell>
          <cell r="AL40">
            <v>0</v>
          </cell>
          <cell r="AM40">
            <v>0.13501152605386402</v>
          </cell>
          <cell r="AN40">
            <v>0.34138668081614731</v>
          </cell>
          <cell r="AO40">
            <v>0.55411448439480449</v>
          </cell>
          <cell r="AP40">
            <v>0.77352904219080088</v>
          </cell>
          <cell r="AQ40">
            <v>1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W40">
            <v>0</v>
          </cell>
          <cell r="AY40">
            <v>0</v>
          </cell>
          <cell r="AZ40">
            <v>0</v>
          </cell>
          <cell r="BA40">
            <v>1</v>
          </cell>
          <cell r="BC40">
            <v>3.0589645379287358</v>
          </cell>
          <cell r="BD40">
            <v>11.98821956719854</v>
          </cell>
          <cell r="BE40">
            <v>19.307877804361226</v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L40">
            <v>0</v>
          </cell>
        </row>
        <row r="41">
          <cell r="A41">
            <v>10002204</v>
          </cell>
          <cell r="B41">
            <v>0</v>
          </cell>
          <cell r="C41" t="str">
            <v>LSG</v>
          </cell>
          <cell r="D41" t="str">
            <v>USD</v>
          </cell>
          <cell r="E41">
            <v>31</v>
          </cell>
          <cell r="F41" t="str">
            <v>M</v>
          </cell>
          <cell r="G41">
            <v>35585</v>
          </cell>
          <cell r="H41">
            <v>1</v>
          </cell>
          <cell r="I41">
            <v>10000</v>
          </cell>
          <cell r="J41">
            <v>1055.75</v>
          </cell>
          <cell r="K41">
            <v>166</v>
          </cell>
          <cell r="L41">
            <v>166</v>
          </cell>
          <cell r="M41">
            <v>20</v>
          </cell>
          <cell r="N41">
            <v>54</v>
          </cell>
          <cell r="O41">
            <v>10000</v>
          </cell>
          <cell r="P41">
            <v>15</v>
          </cell>
          <cell r="Q41">
            <v>0</v>
          </cell>
          <cell r="R41">
            <v>0</v>
          </cell>
          <cell r="T41">
            <v>34.950000000000003</v>
          </cell>
          <cell r="U41">
            <v>5.480000000000004</v>
          </cell>
          <cell r="W41">
            <v>1455.2227222228926</v>
          </cell>
          <cell r="X41">
            <v>15</v>
          </cell>
          <cell r="Y41">
            <v>0</v>
          </cell>
          <cell r="Z41">
            <v>10.960000000000008</v>
          </cell>
          <cell r="AB41">
            <v>239.30901313277914</v>
          </cell>
          <cell r="AC41">
            <v>15</v>
          </cell>
          <cell r="AD41">
            <v>0</v>
          </cell>
          <cell r="AE41">
            <v>5.480000000000004</v>
          </cell>
          <cell r="AH41">
            <v>76</v>
          </cell>
          <cell r="AI41">
            <v>72</v>
          </cell>
          <cell r="AJ41">
            <v>1</v>
          </cell>
          <cell r="AK41">
            <v>2.3930901313277915E-2</v>
          </cell>
          <cell r="AL41">
            <v>0</v>
          </cell>
          <cell r="AM41">
            <v>5.5511151231257827E-17</v>
          </cell>
          <cell r="AN41">
            <v>2.2761565226366298E-2</v>
          </cell>
          <cell r="AO41">
            <v>4.6116436420504336E-2</v>
          </cell>
          <cell r="AP41">
            <v>7.0067277440213793E-2</v>
          </cell>
          <cell r="AQ41">
            <v>9.4618450707247392E-2</v>
          </cell>
          <cell r="AR41">
            <v>0.11976731938205615</v>
          </cell>
          <cell r="AS41">
            <v>0.14552227222228925</v>
          </cell>
          <cell r="AT41">
            <v>0.17189381122186997</v>
          </cell>
          <cell r="AU41">
            <v>0.19888666345388065</v>
          </cell>
          <cell r="AW41">
            <v>0</v>
          </cell>
          <cell r="AY41">
            <v>1</v>
          </cell>
          <cell r="AZ41">
            <v>0</v>
          </cell>
          <cell r="BA41">
            <v>1</v>
          </cell>
          <cell r="BC41">
            <v>1.3741129837002475</v>
          </cell>
          <cell r="BD41">
            <v>1.8541864411756592</v>
          </cell>
          <cell r="BE41">
            <v>2.0356177953296757</v>
          </cell>
          <cell r="BF41">
            <v>2.2857467506179621</v>
          </cell>
          <cell r="BG41">
            <v>2.6096803313903503</v>
          </cell>
          <cell r="BH41">
            <v>3.0129237454844824</v>
          </cell>
          <cell r="BI41">
            <v>3.501309847397585</v>
          </cell>
          <cell r="BJ41">
            <v>4.0807666260419886</v>
          </cell>
          <cell r="BL41">
            <v>26.096803313903504</v>
          </cell>
        </row>
        <row r="42">
          <cell r="A42">
            <v>10002204</v>
          </cell>
          <cell r="B42">
            <v>1</v>
          </cell>
          <cell r="C42" t="str">
            <v>SSG</v>
          </cell>
          <cell r="D42" t="str">
            <v>USD</v>
          </cell>
          <cell r="E42">
            <v>31</v>
          </cell>
          <cell r="F42" t="str">
            <v>M</v>
          </cell>
          <cell r="G42">
            <v>35585</v>
          </cell>
          <cell r="H42">
            <v>1</v>
          </cell>
          <cell r="I42">
            <v>10000</v>
          </cell>
          <cell r="J42">
            <v>404</v>
          </cell>
          <cell r="K42">
            <v>404</v>
          </cell>
          <cell r="L42">
            <v>404</v>
          </cell>
          <cell r="M42">
            <v>20</v>
          </cell>
          <cell r="N42">
            <v>20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13.33</v>
          </cell>
          <cell r="U42">
            <v>13.33</v>
          </cell>
          <cell r="W42">
            <v>2605.6781497460729</v>
          </cell>
          <cell r="X42">
            <v>0</v>
          </cell>
          <cell r="Y42">
            <v>0</v>
          </cell>
          <cell r="Z42">
            <v>26.66</v>
          </cell>
          <cell r="AB42">
            <v>412.10212170987148</v>
          </cell>
          <cell r="AC42">
            <v>0</v>
          </cell>
          <cell r="AD42">
            <v>0</v>
          </cell>
          <cell r="AE42">
            <v>13.33</v>
          </cell>
          <cell r="AH42">
            <v>76</v>
          </cell>
          <cell r="AI42">
            <v>72</v>
          </cell>
          <cell r="AJ42">
            <v>1</v>
          </cell>
          <cell r="AK42">
            <v>4.1210212170987151E-2</v>
          </cell>
          <cell r="AL42">
            <v>0</v>
          </cell>
          <cell r="AM42">
            <v>2.2204460492503131E-16</v>
          </cell>
          <cell r="AN42">
            <v>4.0549320234527619E-2</v>
          </cell>
          <cell r="AO42">
            <v>8.2218245124659473E-2</v>
          </cell>
          <cell r="AP42">
            <v>0.12502904942259319</v>
          </cell>
          <cell r="AQ42">
            <v>0.16900758775282765</v>
          </cell>
          <cell r="AR42">
            <v>0.2141756769923418</v>
          </cell>
          <cell r="AS42">
            <v>0.26056781497460729</v>
          </cell>
          <cell r="AT42">
            <v>0.30822296042604003</v>
          </cell>
          <cell r="AU42">
            <v>0.35717840220985408</v>
          </cell>
          <cell r="AW42">
            <v>0</v>
          </cell>
          <cell r="AY42">
            <v>0</v>
          </cell>
          <cell r="AZ42">
            <v>0</v>
          </cell>
          <cell r="BA42">
            <v>1</v>
          </cell>
          <cell r="BC42">
            <v>0.1366151715179634</v>
          </cell>
          <cell r="BD42">
            <v>0.35100299010122116</v>
          </cell>
          <cell r="BE42">
            <v>0.66761496604389947</v>
          </cell>
          <cell r="BF42">
            <v>1.1136653443961277</v>
          </cell>
          <cell r="BG42">
            <v>1.7009966336132916</v>
          </cell>
          <cell r="BH42">
            <v>2.4425488466926844</v>
          </cell>
          <cell r="BI42">
            <v>3.3524202183579228</v>
          </cell>
          <cell r="BJ42">
            <v>4.4458776045570048</v>
          </cell>
          <cell r="BL42">
            <v>17.009966336132916</v>
          </cell>
        </row>
        <row r="43">
          <cell r="A43">
            <v>10002204</v>
          </cell>
          <cell r="B43">
            <v>3</v>
          </cell>
          <cell r="C43" t="str">
            <v>CEG</v>
          </cell>
          <cell r="D43" t="str">
            <v>USD</v>
          </cell>
          <cell r="E43">
            <v>31</v>
          </cell>
          <cell r="F43" t="str">
            <v>M</v>
          </cell>
          <cell r="G43">
            <v>37411</v>
          </cell>
          <cell r="H43">
            <v>1</v>
          </cell>
          <cell r="I43">
            <v>2500</v>
          </cell>
          <cell r="J43">
            <v>485.75</v>
          </cell>
          <cell r="K43">
            <v>485.75</v>
          </cell>
          <cell r="L43">
            <v>485.75</v>
          </cell>
          <cell r="M43">
            <v>5</v>
          </cell>
          <cell r="N43">
            <v>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16.14</v>
          </cell>
          <cell r="U43">
            <v>16.14</v>
          </cell>
          <cell r="W43">
            <v>854.73092261918657</v>
          </cell>
          <cell r="X43">
            <v>0</v>
          </cell>
          <cell r="Y43">
            <v>0</v>
          </cell>
          <cell r="Z43">
            <v>32.28</v>
          </cell>
          <cell r="AB43">
            <v>497.42439402530778</v>
          </cell>
          <cell r="AC43">
            <v>0</v>
          </cell>
          <cell r="AD43">
            <v>0</v>
          </cell>
          <cell r="AE43">
            <v>16.14</v>
          </cell>
          <cell r="AH43">
            <v>16</v>
          </cell>
          <cell r="AI43">
            <v>12</v>
          </cell>
          <cell r="AJ43">
            <v>1</v>
          </cell>
          <cell r="AK43">
            <v>0.19896975761012312</v>
          </cell>
          <cell r="AL43">
            <v>0</v>
          </cell>
          <cell r="AM43">
            <v>0.1348276798472301</v>
          </cell>
          <cell r="AN43">
            <v>0.34189236904767462</v>
          </cell>
          <cell r="AO43">
            <v>0.55497101136830773</v>
          </cell>
          <cell r="AP43">
            <v>0.77426625212223676</v>
          </cell>
          <cell r="AQ43">
            <v>1</v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W43">
            <v>0</v>
          </cell>
          <cell r="AY43">
            <v>0</v>
          </cell>
          <cell r="AZ43">
            <v>0</v>
          </cell>
          <cell r="BA43">
            <v>1</v>
          </cell>
          <cell r="BC43">
            <v>3.0446939823295991</v>
          </cell>
          <cell r="BD43">
            <v>11.987323700763106</v>
          </cell>
          <cell r="BE43">
            <v>19.307164276581268</v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L43">
            <v>0</v>
          </cell>
        </row>
        <row r="44">
          <cell r="A44">
            <v>10002204</v>
          </cell>
          <cell r="B44">
            <v>4</v>
          </cell>
          <cell r="C44" t="str">
            <v>NI</v>
          </cell>
          <cell r="D44" t="str">
            <v>USD</v>
          </cell>
          <cell r="E44">
            <v>31</v>
          </cell>
          <cell r="F44" t="str">
            <v>M</v>
          </cell>
          <cell r="G44">
            <v>39237</v>
          </cell>
          <cell r="H44">
            <v>1</v>
          </cell>
          <cell r="I44">
            <v>2500</v>
          </cell>
          <cell r="J44">
            <v>486.75</v>
          </cell>
          <cell r="K44">
            <v>486.75</v>
          </cell>
          <cell r="L44">
            <v>486.75</v>
          </cell>
          <cell r="M44">
            <v>5</v>
          </cell>
          <cell r="N44">
            <v>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J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L44">
            <v>0</v>
          </cell>
        </row>
        <row r="45">
          <cell r="A45">
            <v>10002204</v>
          </cell>
          <cell r="B45">
            <v>5</v>
          </cell>
          <cell r="C45" t="str">
            <v>NI</v>
          </cell>
          <cell r="D45" t="str">
            <v>USD</v>
          </cell>
          <cell r="E45">
            <v>31</v>
          </cell>
          <cell r="F45" t="str">
            <v>M</v>
          </cell>
          <cell r="G45">
            <v>41064</v>
          </cell>
          <cell r="H45">
            <v>1</v>
          </cell>
          <cell r="I45">
            <v>2500</v>
          </cell>
          <cell r="J45">
            <v>488.5</v>
          </cell>
          <cell r="K45">
            <v>488.5</v>
          </cell>
          <cell r="L45">
            <v>488.5</v>
          </cell>
          <cell r="M45">
            <v>5</v>
          </cell>
          <cell r="N45">
            <v>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J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L45">
            <v>0</v>
          </cell>
        </row>
        <row r="46">
          <cell r="A46">
            <v>10002250</v>
          </cell>
          <cell r="B46">
            <v>0</v>
          </cell>
          <cell r="C46" t="str">
            <v>LSG</v>
          </cell>
          <cell r="D46" t="str">
            <v>USD</v>
          </cell>
          <cell r="E46">
            <v>40</v>
          </cell>
          <cell r="F46" t="str">
            <v>F</v>
          </cell>
          <cell r="G46">
            <v>35608</v>
          </cell>
          <cell r="H46">
            <v>1</v>
          </cell>
          <cell r="I46">
            <v>20000</v>
          </cell>
          <cell r="J46">
            <v>2576.5</v>
          </cell>
          <cell r="K46">
            <v>432</v>
          </cell>
          <cell r="L46">
            <v>432</v>
          </cell>
          <cell r="M46">
            <v>20</v>
          </cell>
          <cell r="N46">
            <v>45</v>
          </cell>
          <cell r="O46">
            <v>20000</v>
          </cell>
          <cell r="P46">
            <v>50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W46">
            <v>3282.2745466646552</v>
          </cell>
          <cell r="X46">
            <v>50</v>
          </cell>
          <cell r="Y46">
            <v>0</v>
          </cell>
          <cell r="Z46">
            <v>0</v>
          </cell>
          <cell r="AB46">
            <v>563.82725838941235</v>
          </cell>
          <cell r="AC46">
            <v>50</v>
          </cell>
          <cell r="AD46">
            <v>0</v>
          </cell>
          <cell r="AE46">
            <v>0</v>
          </cell>
          <cell r="AH46">
            <v>76</v>
          </cell>
          <cell r="AI46">
            <v>72</v>
          </cell>
          <cell r="AJ46">
            <v>1</v>
          </cell>
          <cell r="AK46">
            <v>2.8191362919470615E-2</v>
          </cell>
          <cell r="AL46">
            <v>0</v>
          </cell>
          <cell r="AM46">
            <v>0</v>
          </cell>
          <cell r="AN46">
            <v>2.5885989842633461E-2</v>
          </cell>
          <cell r="AO46">
            <v>5.2316769532249008E-2</v>
          </cell>
          <cell r="AP46">
            <v>7.9334055418080307E-2</v>
          </cell>
          <cell r="AQ46">
            <v>0.10694945940323275</v>
          </cell>
          <cell r="AR46">
            <v>0.13519735012229545</v>
          </cell>
          <cell r="AS46">
            <v>0.16411372733323276</v>
          </cell>
          <cell r="AT46">
            <v>0.19370836398652197</v>
          </cell>
          <cell r="AU46">
            <v>0.2240040382007174</v>
          </cell>
          <cell r="AW46">
            <v>0</v>
          </cell>
          <cell r="AY46">
            <v>1</v>
          </cell>
          <cell r="AZ46">
            <v>0</v>
          </cell>
          <cell r="BA46">
            <v>0</v>
          </cell>
          <cell r="BC46">
            <v>1.9377154517950088</v>
          </cell>
          <cell r="BD46">
            <v>2.6503771157545284</v>
          </cell>
          <cell r="BE46">
            <v>2.8936214407876517</v>
          </cell>
          <cell r="BF46">
            <v>3.2219768278992569</v>
          </cell>
          <cell r="BG46">
            <v>3.6417757359382126</v>
          </cell>
          <cell r="BH46">
            <v>4.1600238264354363</v>
          </cell>
          <cell r="BI46">
            <v>4.7836133562398278</v>
          </cell>
          <cell r="BJ46">
            <v>5.5201646959335928</v>
          </cell>
          <cell r="BL46">
            <v>72.835514718764259</v>
          </cell>
        </row>
        <row r="47">
          <cell r="A47">
            <v>10002250</v>
          </cell>
          <cell r="B47">
            <v>1</v>
          </cell>
          <cell r="C47" t="str">
            <v>SSG</v>
          </cell>
          <cell r="D47" t="str">
            <v>USD</v>
          </cell>
          <cell r="E47">
            <v>40</v>
          </cell>
          <cell r="F47" t="str">
            <v>F</v>
          </cell>
          <cell r="G47">
            <v>35608</v>
          </cell>
          <cell r="H47">
            <v>1</v>
          </cell>
          <cell r="I47">
            <v>20000</v>
          </cell>
          <cell r="J47">
            <v>838</v>
          </cell>
          <cell r="K47">
            <v>838</v>
          </cell>
          <cell r="L47">
            <v>838</v>
          </cell>
          <cell r="M47">
            <v>20</v>
          </cell>
          <cell r="N47">
            <v>20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T47">
            <v>0</v>
          </cell>
          <cell r="U47">
            <v>0</v>
          </cell>
          <cell r="W47">
            <v>5179.7650923175588</v>
          </cell>
          <cell r="X47">
            <v>0</v>
          </cell>
          <cell r="Y47">
            <v>0</v>
          </cell>
          <cell r="Z47">
            <v>0</v>
          </cell>
          <cell r="AB47">
            <v>846.97879156382498</v>
          </cell>
          <cell r="AC47">
            <v>0</v>
          </cell>
          <cell r="AD47">
            <v>0</v>
          </cell>
          <cell r="AE47">
            <v>0</v>
          </cell>
          <cell r="AH47">
            <v>76</v>
          </cell>
          <cell r="AI47">
            <v>72</v>
          </cell>
          <cell r="AJ47">
            <v>1</v>
          </cell>
          <cell r="AK47">
            <v>4.2348939578191247E-2</v>
          </cell>
          <cell r="AL47">
            <v>0</v>
          </cell>
          <cell r="AM47">
            <v>0</v>
          </cell>
          <cell r="AN47">
            <v>4.0479050413524509E-2</v>
          </cell>
          <cell r="AO47">
            <v>8.195963538695894E-2</v>
          </cell>
          <cell r="AP47">
            <v>0.12450524006011332</v>
          </cell>
          <cell r="AQ47">
            <v>0.16815187840934498</v>
          </cell>
          <cell r="AR47">
            <v>0.21295883226031914</v>
          </cell>
          <cell r="AS47">
            <v>0.25898825461587793</v>
          </cell>
          <cell r="AT47">
            <v>0.30628128339846161</v>
          </cell>
          <cell r="AU47">
            <v>0.35489396783077476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0.14229626868085626</v>
          </cell>
          <cell r="BD47">
            <v>0.35998069823046397</v>
          </cell>
          <cell r="BE47">
            <v>0.67592546014813693</v>
          </cell>
          <cell r="BF47">
            <v>1.1199245851394064</v>
          </cell>
          <cell r="BG47">
            <v>1.7037577020565318</v>
          </cell>
          <cell r="BH47">
            <v>2.440423813947167</v>
          </cell>
          <cell r="BI47">
            <v>3.3438589637381835</v>
          </cell>
          <cell r="BJ47">
            <v>4.4294822397572453</v>
          </cell>
          <cell r="BL47">
            <v>34.075154041130631</v>
          </cell>
        </row>
        <row r="48">
          <cell r="A48">
            <v>10002250</v>
          </cell>
          <cell r="B48">
            <v>3</v>
          </cell>
          <cell r="C48" t="str">
            <v>CEG</v>
          </cell>
          <cell r="D48" t="str">
            <v>USD</v>
          </cell>
          <cell r="E48">
            <v>40</v>
          </cell>
          <cell r="F48" t="str">
            <v>F</v>
          </cell>
          <cell r="G48">
            <v>37434</v>
          </cell>
          <cell r="H48">
            <v>1</v>
          </cell>
          <cell r="I48">
            <v>6700</v>
          </cell>
          <cell r="J48">
            <v>1306.5</v>
          </cell>
          <cell r="K48">
            <v>1306.5</v>
          </cell>
          <cell r="L48">
            <v>1306.5</v>
          </cell>
          <cell r="M48">
            <v>5</v>
          </cell>
          <cell r="N48">
            <v>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W48">
            <v>2289.0528915980326</v>
          </cell>
          <cell r="X48">
            <v>0</v>
          </cell>
          <cell r="Y48">
            <v>0</v>
          </cell>
          <cell r="Z48">
            <v>0</v>
          </cell>
          <cell r="AB48">
            <v>1335.658763062328</v>
          </cell>
          <cell r="AC48">
            <v>0</v>
          </cell>
          <cell r="AD48">
            <v>0</v>
          </cell>
          <cell r="AE48">
            <v>0</v>
          </cell>
          <cell r="AH48">
            <v>16</v>
          </cell>
          <cell r="AI48">
            <v>12</v>
          </cell>
          <cell r="AJ48">
            <v>1</v>
          </cell>
          <cell r="AK48">
            <v>0.19935205418840718</v>
          </cell>
          <cell r="AL48">
            <v>0</v>
          </cell>
          <cell r="AM48">
            <v>0.13493945938683993</v>
          </cell>
          <cell r="AN48">
            <v>0.34164968531313922</v>
          </cell>
          <cell r="AO48">
            <v>0.55453365978080571</v>
          </cell>
          <cell r="AP48">
            <v>0.77388395554395317</v>
          </cell>
          <cell r="AQ48">
            <v>1</v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C48">
            <v>3.0520284053533584</v>
          </cell>
          <cell r="BD48">
            <v>11.987909412633394</v>
          </cell>
          <cell r="BE48">
            <v>19.307530997732457</v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L48">
            <v>0</v>
          </cell>
        </row>
        <row r="49">
          <cell r="A49">
            <v>10002250</v>
          </cell>
          <cell r="B49">
            <v>4</v>
          </cell>
          <cell r="C49" t="str">
            <v>NI</v>
          </cell>
          <cell r="D49" t="str">
            <v>USD</v>
          </cell>
          <cell r="E49">
            <v>40</v>
          </cell>
          <cell r="F49" t="str">
            <v>F</v>
          </cell>
          <cell r="G49">
            <v>39260</v>
          </cell>
          <cell r="H49">
            <v>1</v>
          </cell>
          <cell r="I49">
            <v>6700</v>
          </cell>
          <cell r="J49">
            <v>1311.86</v>
          </cell>
          <cell r="K49">
            <v>1311.86</v>
          </cell>
          <cell r="L49">
            <v>1311.86</v>
          </cell>
          <cell r="M49">
            <v>5</v>
          </cell>
          <cell r="N49">
            <v>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J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L49">
            <v>0</v>
          </cell>
        </row>
        <row r="50">
          <cell r="A50">
            <v>10000491</v>
          </cell>
          <cell r="B50">
            <v>0</v>
          </cell>
          <cell r="C50" t="str">
            <v>CP9</v>
          </cell>
          <cell r="D50" t="str">
            <v>USD</v>
          </cell>
          <cell r="E50">
            <v>44</v>
          </cell>
          <cell r="F50" t="str">
            <v>M</v>
          </cell>
          <cell r="G50">
            <v>34876</v>
          </cell>
          <cell r="H50">
            <v>1</v>
          </cell>
          <cell r="I50">
            <v>5000</v>
          </cell>
          <cell r="J50">
            <v>510</v>
          </cell>
          <cell r="K50">
            <v>510</v>
          </cell>
          <cell r="L50">
            <v>510</v>
          </cell>
          <cell r="M50">
            <v>9</v>
          </cell>
          <cell r="N50">
            <v>9</v>
          </cell>
          <cell r="O50">
            <v>10000</v>
          </cell>
          <cell r="P50">
            <v>25</v>
          </cell>
          <cell r="Q50">
            <v>0</v>
          </cell>
          <cell r="R50">
            <v>0</v>
          </cell>
          <cell r="T50">
            <v>29.58</v>
          </cell>
          <cell r="U50">
            <v>29.58</v>
          </cell>
          <cell r="W50">
            <v>5000</v>
          </cell>
          <cell r="X50">
            <v>25</v>
          </cell>
          <cell r="Y50">
            <v>0</v>
          </cell>
          <cell r="Z50">
            <v>59.16</v>
          </cell>
          <cell r="AB50">
            <v>530.72192026779339</v>
          </cell>
          <cell r="AC50">
            <v>25</v>
          </cell>
          <cell r="AD50">
            <v>0</v>
          </cell>
          <cell r="AE50">
            <v>29.58</v>
          </cell>
          <cell r="AH50">
            <v>100</v>
          </cell>
          <cell r="AI50">
            <v>96</v>
          </cell>
          <cell r="AJ50">
            <v>1</v>
          </cell>
          <cell r="AK50">
            <v>0.10614438405355868</v>
          </cell>
          <cell r="AL50">
            <v>0</v>
          </cell>
          <cell r="AM50">
            <v>4.5469959235037716E-2</v>
          </cell>
          <cell r="AN50">
            <v>0.15259360021094681</v>
          </cell>
          <cell r="AO50">
            <v>0.26284816266694777</v>
          </cell>
          <cell r="AP50">
            <v>0.37639275206121492</v>
          </cell>
          <cell r="AQ50">
            <v>0.4933964044623802</v>
          </cell>
          <cell r="AR50">
            <v>0.61403978507944568</v>
          </cell>
          <cell r="AS50">
            <v>0.73852861578014473</v>
          </cell>
          <cell r="AT50">
            <v>0.86709162567880138</v>
          </cell>
          <cell r="AU50">
            <v>1</v>
          </cell>
          <cell r="AW50">
            <v>0</v>
          </cell>
          <cell r="AY50">
            <v>1</v>
          </cell>
          <cell r="AZ50">
            <v>0</v>
          </cell>
          <cell r="BA50">
            <v>1</v>
          </cell>
          <cell r="BC50">
            <v>1.533025225937777</v>
          </cell>
          <cell r="BD50">
            <v>4.2313647484881072</v>
          </cell>
          <cell r="BE50">
            <v>6.1949388649958621</v>
          </cell>
          <cell r="BF50">
            <v>8.8240481809590339</v>
          </cell>
          <cell r="BG50">
            <v>12.184358724167916</v>
          </cell>
          <cell r="BH50">
            <v>16.348327961116745</v>
          </cell>
          <cell r="BI50">
            <v>21.395993252054108</v>
          </cell>
          <cell r="BJ50" t="str">
            <v/>
          </cell>
          <cell r="BL50">
            <v>106.97996626027053</v>
          </cell>
        </row>
        <row r="51">
          <cell r="A51">
            <v>10000586</v>
          </cell>
          <cell r="B51">
            <v>0</v>
          </cell>
          <cell r="C51" t="str">
            <v>CP14</v>
          </cell>
          <cell r="D51" t="str">
            <v>USD</v>
          </cell>
          <cell r="E51">
            <v>26</v>
          </cell>
          <cell r="F51" t="str">
            <v>F</v>
          </cell>
          <cell r="G51">
            <v>34919</v>
          </cell>
          <cell r="H51">
            <v>1</v>
          </cell>
          <cell r="I51">
            <v>12500</v>
          </cell>
          <cell r="J51">
            <v>1084.3800000000001</v>
          </cell>
          <cell r="K51">
            <v>778.75000000000011</v>
          </cell>
          <cell r="L51">
            <v>778.75000000000011</v>
          </cell>
          <cell r="M51">
            <v>14</v>
          </cell>
          <cell r="N51">
            <v>14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>
            <v>28.68</v>
          </cell>
          <cell r="U51">
            <v>21.03</v>
          </cell>
          <cell r="W51">
            <v>7173.4176050211418</v>
          </cell>
          <cell r="X51">
            <v>0</v>
          </cell>
          <cell r="Y51">
            <v>0</v>
          </cell>
          <cell r="Z51">
            <v>42.06</v>
          </cell>
          <cell r="AB51">
            <v>792.57426567483458</v>
          </cell>
          <cell r="AC51">
            <v>0</v>
          </cell>
          <cell r="AD51">
            <v>0</v>
          </cell>
          <cell r="AE51">
            <v>21.03</v>
          </cell>
          <cell r="AH51">
            <v>98</v>
          </cell>
          <cell r="AI51">
            <v>96</v>
          </cell>
          <cell r="AJ51">
            <v>1</v>
          </cell>
          <cell r="AK51">
            <v>6.340594125398677E-2</v>
          </cell>
          <cell r="AL51">
            <v>0</v>
          </cell>
          <cell r="AM51">
            <v>5.1806626599708583E-3</v>
          </cell>
          <cell r="AN51">
            <v>6.9542138958201161E-2</v>
          </cell>
          <cell r="AO51">
            <v>0.13571170621316386</v>
          </cell>
          <cell r="AP51">
            <v>0.20374534819049106</v>
          </cell>
          <cell r="AQ51">
            <v>0.27369496658167125</v>
          </cell>
          <cell r="AR51">
            <v>0.34562117009627158</v>
          </cell>
          <cell r="AS51">
            <v>0.41958655470188871</v>
          </cell>
          <cell r="AT51">
            <v>0.49564761243427907</v>
          </cell>
          <cell r="AU51">
            <v>0.57387340840169132</v>
          </cell>
          <cell r="AW51">
            <v>0</v>
          </cell>
          <cell r="AY51">
            <v>0</v>
          </cell>
          <cell r="AZ51">
            <v>0</v>
          </cell>
          <cell r="BA51">
            <v>1</v>
          </cell>
          <cell r="BC51">
            <v>0.84690656723191127</v>
          </cell>
          <cell r="BD51">
            <v>2.0307471648732505</v>
          </cell>
          <cell r="BE51">
            <v>3.0218961203644481</v>
          </cell>
          <cell r="BF51">
            <v>4.3709856309854267</v>
          </cell>
          <cell r="BG51">
            <v>6.1119236202557943</v>
          </cell>
          <cell r="BH51">
            <v>8.2815744291487636</v>
          </cell>
          <cell r="BI51">
            <v>10.919868795318992</v>
          </cell>
          <cell r="BJ51">
            <v>14.070326330699688</v>
          </cell>
          <cell r="BL51">
            <v>136.49835994148739</v>
          </cell>
        </row>
        <row r="52">
          <cell r="A52">
            <v>10000586</v>
          </cell>
          <cell r="B52">
            <v>2</v>
          </cell>
          <cell r="C52" t="str">
            <v>E11</v>
          </cell>
          <cell r="D52" t="str">
            <v>USD</v>
          </cell>
          <cell r="E52">
            <v>26</v>
          </cell>
          <cell r="F52" t="str">
            <v>F</v>
          </cell>
          <cell r="G52">
            <v>34919</v>
          </cell>
          <cell r="H52">
            <v>1</v>
          </cell>
          <cell r="I52">
            <v>3750</v>
          </cell>
          <cell r="J52">
            <v>305.63</v>
          </cell>
          <cell r="K52">
            <v>305.63</v>
          </cell>
          <cell r="L52">
            <v>305.63</v>
          </cell>
          <cell r="M52">
            <v>11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T52">
            <v>7.65</v>
          </cell>
          <cell r="U52">
            <v>7.65</v>
          </cell>
          <cell r="W52">
            <v>2933.5348018080676</v>
          </cell>
          <cell r="X52">
            <v>0</v>
          </cell>
          <cell r="Y52">
            <v>0</v>
          </cell>
          <cell r="Z52">
            <v>15.3</v>
          </cell>
          <cell r="AB52">
            <v>313.70718875095878</v>
          </cell>
          <cell r="AC52">
            <v>0</v>
          </cell>
          <cell r="AD52">
            <v>0</v>
          </cell>
          <cell r="AE52">
            <v>7.65</v>
          </cell>
          <cell r="AH52">
            <v>98</v>
          </cell>
          <cell r="AI52">
            <v>96</v>
          </cell>
          <cell r="AJ52">
            <v>1</v>
          </cell>
          <cell r="AK52">
            <v>8.3655250333589004E-2</v>
          </cell>
          <cell r="AL52">
            <v>0</v>
          </cell>
          <cell r="AM52">
            <v>2.4681762117237382E-2</v>
          </cell>
          <cell r="AN52">
            <v>0.11035657191766191</v>
          </cell>
          <cell r="AO52">
            <v>0.19845445016111307</v>
          </cell>
          <cell r="AP52">
            <v>0.28905104808861282</v>
          </cell>
          <cell r="AQ52">
            <v>0.38221907164479541</v>
          </cell>
          <cell r="AR52">
            <v>0.47804064572732852</v>
          </cell>
          <cell r="AS52">
            <v>0.57660061787428907</v>
          </cell>
          <cell r="AT52">
            <v>0.67798103426675294</v>
          </cell>
          <cell r="AU52">
            <v>0.78227594714881798</v>
          </cell>
          <cell r="AW52">
            <v>0</v>
          </cell>
          <cell r="AY52">
            <v>0</v>
          </cell>
          <cell r="AZ52">
            <v>0</v>
          </cell>
          <cell r="BA52">
            <v>1</v>
          </cell>
          <cell r="BC52">
            <v>1.1707677560843537</v>
          </cell>
          <cell r="BD52">
            <v>3.0950449247832292</v>
          </cell>
          <cell r="BE52">
            <v>4.5629084995364799</v>
          </cell>
          <cell r="BF52">
            <v>6.538211350875061</v>
          </cell>
          <cell r="BG52">
            <v>9.0691945025833398</v>
          </cell>
          <cell r="BH52">
            <v>12.208323955080044</v>
          </cell>
          <cell r="BI52">
            <v>16.012540478946647</v>
          </cell>
          <cell r="BJ52">
            <v>20.543874834827896</v>
          </cell>
          <cell r="BL52">
            <v>60.047026796049927</v>
          </cell>
        </row>
        <row r="53">
          <cell r="A53">
            <v>10000693</v>
          </cell>
          <cell r="B53">
            <v>0</v>
          </cell>
          <cell r="C53" t="str">
            <v>CP9</v>
          </cell>
          <cell r="D53" t="str">
            <v>USD</v>
          </cell>
          <cell r="E53">
            <v>40</v>
          </cell>
          <cell r="F53" t="str">
            <v>M</v>
          </cell>
          <cell r="G53">
            <v>34953</v>
          </cell>
          <cell r="H53">
            <v>4</v>
          </cell>
          <cell r="I53">
            <v>8113</v>
          </cell>
          <cell r="J53">
            <v>218</v>
          </cell>
          <cell r="K53">
            <v>218</v>
          </cell>
          <cell r="L53">
            <v>872</v>
          </cell>
          <cell r="M53">
            <v>9</v>
          </cell>
          <cell r="N53">
            <v>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W53">
            <v>7307.3766729247627</v>
          </cell>
          <cell r="X53">
            <v>0</v>
          </cell>
          <cell r="Y53">
            <v>0</v>
          </cell>
          <cell r="Z53">
            <v>0</v>
          </cell>
          <cell r="AB53">
            <v>857.02818305895335</v>
          </cell>
          <cell r="AC53">
            <v>0</v>
          </cell>
          <cell r="AD53">
            <v>0</v>
          </cell>
          <cell r="AE53">
            <v>0</v>
          </cell>
          <cell r="AH53">
            <v>97</v>
          </cell>
          <cell r="AI53">
            <v>96</v>
          </cell>
          <cell r="AJ53">
            <v>1</v>
          </cell>
          <cell r="AK53">
            <v>0.10563640861074243</v>
          </cell>
          <cell r="AL53">
            <v>0</v>
          </cell>
          <cell r="AM53">
            <v>4.5262490893467011E-2</v>
          </cell>
          <cell r="AN53">
            <v>0.15274251747804035</v>
          </cell>
          <cell r="AO53">
            <v>0.26330851913271103</v>
          </cell>
          <cell r="AP53">
            <v>0.37709178252507275</v>
          </cell>
          <cell r="AQ53">
            <v>0.49424244160559677</v>
          </cell>
          <cell r="AR53">
            <v>0.61492381549134989</v>
          </cell>
          <cell r="AS53">
            <v>0.73931129986734534</v>
          </cell>
          <cell r="AT53">
            <v>0.8675996011216176</v>
          </cell>
          <cell r="AU53">
            <v>1</v>
          </cell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C53">
            <v>1.5251782306440076</v>
          </cell>
          <cell r="BD53">
            <v>4.2276388245917733</v>
          </cell>
          <cell r="BE53">
            <v>6.1945389905511785</v>
          </cell>
          <cell r="BF53">
            <v>8.8267738452865867</v>
          </cell>
          <cell r="BG53">
            <v>12.189219085261412</v>
          </cell>
          <cell r="BH53">
            <v>16.353100961701713</v>
          </cell>
          <cell r="BI53">
            <v>21.396777951583484</v>
          </cell>
          <cell r="BJ53" t="str">
            <v/>
          </cell>
          <cell r="BL53">
            <v>173.59205952119683</v>
          </cell>
        </row>
        <row r="54">
          <cell r="A54">
            <v>10000700</v>
          </cell>
          <cell r="B54">
            <v>0</v>
          </cell>
          <cell r="C54" t="str">
            <v>CP10</v>
          </cell>
          <cell r="D54" t="str">
            <v>USD</v>
          </cell>
          <cell r="E54">
            <v>43</v>
          </cell>
          <cell r="F54" t="str">
            <v>F</v>
          </cell>
          <cell r="G54">
            <v>34969</v>
          </cell>
          <cell r="H54">
            <v>1</v>
          </cell>
          <cell r="I54">
            <v>10000</v>
          </cell>
          <cell r="J54">
            <v>1362.7</v>
          </cell>
          <cell r="K54">
            <v>1108.7</v>
          </cell>
          <cell r="L54">
            <v>1108.7</v>
          </cell>
          <cell r="M54">
            <v>10</v>
          </cell>
          <cell r="N54">
            <v>10</v>
          </cell>
          <cell r="O54">
            <v>0</v>
          </cell>
          <cell r="P54">
            <v>0</v>
          </cell>
          <cell r="Q54">
            <v>20000</v>
          </cell>
          <cell r="R54">
            <v>158</v>
          </cell>
          <cell r="T54">
            <v>0</v>
          </cell>
          <cell r="U54">
            <v>0</v>
          </cell>
          <cell r="W54">
            <v>8790.415735933846</v>
          </cell>
          <cell r="X54">
            <v>0</v>
          </cell>
          <cell r="Y54">
            <v>115.86666666666667</v>
          </cell>
          <cell r="Z54">
            <v>0</v>
          </cell>
          <cell r="AB54">
            <v>941.94436138975379</v>
          </cell>
          <cell r="AC54">
            <v>0</v>
          </cell>
          <cell r="AD54">
            <v>126.4</v>
          </cell>
          <cell r="AE54">
            <v>0</v>
          </cell>
          <cell r="AH54">
            <v>97</v>
          </cell>
          <cell r="AI54">
            <v>96</v>
          </cell>
          <cell r="AJ54">
            <v>1</v>
          </cell>
          <cell r="AK54">
            <v>9.4194436138975379E-2</v>
          </cell>
          <cell r="AL54">
            <v>0</v>
          </cell>
          <cell r="AM54">
            <v>3.4286572956402028E-2</v>
          </cell>
          <cell r="AN54">
            <v>0.12934170308757587</v>
          </cell>
          <cell r="AO54">
            <v>0.22714462039839356</v>
          </cell>
          <cell r="AP54">
            <v>0.32782287572535962</v>
          </cell>
          <cell r="AQ54">
            <v>0.43149465238019397</v>
          </cell>
          <cell r="AR54">
            <v>0.53829664490798912</v>
          </cell>
          <cell r="AS54">
            <v>0.64837823380285919</v>
          </cell>
          <cell r="AT54">
            <v>0.76190031169748562</v>
          </cell>
          <cell r="AU54">
            <v>0.87904157359338464</v>
          </cell>
          <cell r="AW54">
            <v>1</v>
          </cell>
          <cell r="AY54">
            <v>0</v>
          </cell>
          <cell r="AZ54">
            <v>0.8</v>
          </cell>
          <cell r="BA54">
            <v>0</v>
          </cell>
          <cell r="BC54">
            <v>1.3393862620915769</v>
          </cell>
          <cell r="BD54">
            <v>3.6084777157463694</v>
          </cell>
          <cell r="BE54">
            <v>5.2959669400182117</v>
          </cell>
          <cell r="BF54">
            <v>7.5611679107745564</v>
          </cell>
          <cell r="BG54">
            <v>10.460299050331644</v>
          </cell>
          <cell r="BH54">
            <v>14.055037662230506</v>
          </cell>
          <cell r="BI54">
            <v>18.413067012541728</v>
          </cell>
          <cell r="BJ54">
            <v>23.608815406308089</v>
          </cell>
          <cell r="BL54">
            <v>184.13067012541725</v>
          </cell>
        </row>
        <row r="55">
          <cell r="A55">
            <v>10000700</v>
          </cell>
          <cell r="B55">
            <v>3</v>
          </cell>
          <cell r="C55" t="str">
            <v>E9</v>
          </cell>
          <cell r="D55" t="str">
            <v>USD</v>
          </cell>
          <cell r="E55">
            <v>43</v>
          </cell>
          <cell r="F55" t="str">
            <v>F</v>
          </cell>
          <cell r="G55">
            <v>34969</v>
          </cell>
          <cell r="H55">
            <v>1</v>
          </cell>
          <cell r="I55">
            <v>2500</v>
          </cell>
          <cell r="J55">
            <v>254</v>
          </cell>
          <cell r="K55">
            <v>254</v>
          </cell>
          <cell r="L55">
            <v>254</v>
          </cell>
          <cell r="M55">
            <v>9</v>
          </cell>
          <cell r="N55">
            <v>9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W55">
            <v>2500</v>
          </cell>
          <cell r="X55">
            <v>0</v>
          </cell>
          <cell r="Y55">
            <v>0</v>
          </cell>
          <cell r="Z55">
            <v>0</v>
          </cell>
          <cell r="AB55">
            <v>264.4635667767148</v>
          </cell>
          <cell r="AC55">
            <v>0</v>
          </cell>
          <cell r="AD55">
            <v>0</v>
          </cell>
          <cell r="AE55">
            <v>0</v>
          </cell>
          <cell r="AH55">
            <v>97</v>
          </cell>
          <cell r="AI55">
            <v>96</v>
          </cell>
          <cell r="AJ55">
            <v>1</v>
          </cell>
          <cell r="AK55">
            <v>0.10578542671068593</v>
          </cell>
          <cell r="AL55">
            <v>0</v>
          </cell>
          <cell r="AM55">
            <v>4.5419659030334181E-2</v>
          </cell>
          <cell r="AN55">
            <v>0.15269551375374713</v>
          </cell>
          <cell r="AO55">
            <v>0.26310634261475052</v>
          </cell>
          <cell r="AP55">
            <v>0.37679872340067883</v>
          </cell>
          <cell r="AQ55">
            <v>0.4939121367826807</v>
          </cell>
          <cell r="AR55">
            <v>0.61460639031114317</v>
          </cell>
          <cell r="AS55">
            <v>0.73905609557306429</v>
          </cell>
          <cell r="AT55">
            <v>0.86745058302167422</v>
          </cell>
          <cell r="AU55">
            <v>1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1.5278769956139329</v>
          </cell>
          <cell r="BD55">
            <v>4.2275227913942377</v>
          </cell>
          <cell r="BE55">
            <v>6.1930020031128459</v>
          </cell>
          <cell r="BF55">
            <v>8.8241995867818375</v>
          </cell>
          <cell r="BG55">
            <v>12.186291316035406</v>
          </cell>
          <cell r="BH55">
            <v>16.350847967274426</v>
          </cell>
          <cell r="BI55">
            <v>21.396508075086494</v>
          </cell>
          <cell r="BJ55" t="str">
            <v/>
          </cell>
          <cell r="BL55">
            <v>53.491270187716232</v>
          </cell>
        </row>
        <row r="56">
          <cell r="A56">
            <v>10000722</v>
          </cell>
          <cell r="B56">
            <v>0</v>
          </cell>
          <cell r="C56" t="str">
            <v>CP11</v>
          </cell>
          <cell r="D56" t="str">
            <v>USD</v>
          </cell>
          <cell r="E56">
            <v>41</v>
          </cell>
          <cell r="F56" t="str">
            <v>M</v>
          </cell>
          <cell r="G56">
            <v>34995</v>
          </cell>
          <cell r="H56">
            <v>1</v>
          </cell>
          <cell r="I56">
            <v>5000</v>
          </cell>
          <cell r="J56">
            <v>410</v>
          </cell>
          <cell r="K56">
            <v>410</v>
          </cell>
          <cell r="L56">
            <v>410</v>
          </cell>
          <cell r="M56">
            <v>11</v>
          </cell>
          <cell r="N56">
            <v>11</v>
          </cell>
          <cell r="O56">
            <v>10000</v>
          </cell>
          <cell r="P56">
            <v>25</v>
          </cell>
          <cell r="Q56">
            <v>22000</v>
          </cell>
          <cell r="R56">
            <v>202.4</v>
          </cell>
          <cell r="T56">
            <v>37.979999999999997</v>
          </cell>
          <cell r="U56">
            <v>37.979999999999997</v>
          </cell>
          <cell r="W56">
            <v>3903.0534159571994</v>
          </cell>
          <cell r="X56">
            <v>25</v>
          </cell>
          <cell r="Y56">
            <v>161.92000000000002</v>
          </cell>
          <cell r="Z56">
            <v>75.959999999999994</v>
          </cell>
          <cell r="AB56">
            <v>423.55489421716254</v>
          </cell>
          <cell r="AC56">
            <v>25</v>
          </cell>
          <cell r="AD56">
            <v>161.92000000000002</v>
          </cell>
          <cell r="AE56">
            <v>37.979999999999997</v>
          </cell>
          <cell r="AH56">
            <v>96</v>
          </cell>
          <cell r="AI56">
            <v>96</v>
          </cell>
          <cell r="AJ56">
            <v>1</v>
          </cell>
          <cell r="AK56">
            <v>8.4710978843432511E-2</v>
          </cell>
          <cell r="AL56">
            <v>0</v>
          </cell>
          <cell r="AM56">
            <v>2.5102843863772817E-2</v>
          </cell>
          <cell r="AN56">
            <v>0.11033677238144901</v>
          </cell>
          <cell r="AO56">
            <v>0.19796559311831785</v>
          </cell>
          <cell r="AP56">
            <v>0.28809498237684494</v>
          </cell>
          <cell r="AQ56">
            <v>0.38084001578712978</v>
          </cell>
          <cell r="AR56">
            <v>0.47632186646568414</v>
          </cell>
          <cell r="AS56">
            <v>0.57467789078379017</v>
          </cell>
          <cell r="AT56">
            <v>0.67605473871759525</v>
          </cell>
          <cell r="AU56">
            <v>0.78061068319143989</v>
          </cell>
          <cell r="AW56">
            <v>0</v>
          </cell>
          <cell r="AY56">
            <v>1</v>
          </cell>
          <cell r="AZ56">
            <v>0.8</v>
          </cell>
          <cell r="BA56">
            <v>1</v>
          </cell>
          <cell r="BC56">
            <v>1.1853608745084696</v>
          </cell>
          <cell r="BD56">
            <v>3.1070710143415718</v>
          </cell>
          <cell r="BE56">
            <v>4.5699227704595433</v>
          </cell>
          <cell r="BF56">
            <v>6.5389405929627848</v>
          </cell>
          <cell r="BG56">
            <v>9.0629617547662029</v>
          </cell>
          <cell r="BH56">
            <v>12.19562618643517</v>
          </cell>
          <cell r="BI56">
            <v>15.995799514604307</v>
          </cell>
          <cell r="BJ56">
            <v>20.528135790058908</v>
          </cell>
          <cell r="BL56">
            <v>79.97899757302153</v>
          </cell>
        </row>
        <row r="57">
          <cell r="A57">
            <v>10000728</v>
          </cell>
          <cell r="B57">
            <v>0</v>
          </cell>
          <cell r="C57" t="str">
            <v>CP11</v>
          </cell>
          <cell r="D57" t="str">
            <v>USD</v>
          </cell>
          <cell r="E57">
            <v>27</v>
          </cell>
          <cell r="F57" t="str">
            <v>F</v>
          </cell>
          <cell r="G57">
            <v>34952</v>
          </cell>
          <cell r="H57">
            <v>4</v>
          </cell>
          <cell r="I57">
            <v>5928</v>
          </cell>
          <cell r="J57">
            <v>128.19</v>
          </cell>
          <cell r="K57">
            <v>128.19</v>
          </cell>
          <cell r="L57">
            <v>512.76</v>
          </cell>
          <cell r="M57">
            <v>11</v>
          </cell>
          <cell r="N57">
            <v>11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T57">
            <v>3.2</v>
          </cell>
          <cell r="U57">
            <v>12.8</v>
          </cell>
          <cell r="W57">
            <v>4173.4482659387022</v>
          </cell>
          <cell r="X57">
            <v>0</v>
          </cell>
          <cell r="Y57">
            <v>0</v>
          </cell>
          <cell r="Z57">
            <v>25.6</v>
          </cell>
          <cell r="AB57">
            <v>496.0305394655569</v>
          </cell>
          <cell r="AC57">
            <v>0</v>
          </cell>
          <cell r="AD57">
            <v>0</v>
          </cell>
          <cell r="AE57">
            <v>12.8</v>
          </cell>
          <cell r="AH57">
            <v>97</v>
          </cell>
          <cell r="AI57">
            <v>96</v>
          </cell>
          <cell r="AJ57">
            <v>1</v>
          </cell>
          <cell r="AK57">
            <v>8.3675866981369251E-2</v>
          </cell>
          <cell r="AL57">
            <v>0</v>
          </cell>
          <cell r="AM57">
            <v>2.468901003888313E-2</v>
          </cell>
          <cell r="AN57">
            <v>0.11035424099693592</v>
          </cell>
          <cell r="AO57">
            <v>0.19844532811082516</v>
          </cell>
          <cell r="AP57">
            <v>0.28903189417229536</v>
          </cell>
          <cell r="AQ57">
            <v>0.38219364804872757</v>
          </cell>
          <cell r="AR57">
            <v>0.47801294073487538</v>
          </cell>
          <cell r="AS57">
            <v>0.57656747040414413</v>
          </cell>
          <cell r="AT57">
            <v>0.67794846808153375</v>
          </cell>
          <cell r="AU57">
            <v>0.78224654308245822</v>
          </cell>
          <cell r="AW57">
            <v>0</v>
          </cell>
          <cell r="AY57">
            <v>0</v>
          </cell>
          <cell r="AZ57">
            <v>0</v>
          </cell>
          <cell r="BA57">
            <v>1</v>
          </cell>
          <cell r="BC57">
            <v>1.171057321860919</v>
          </cell>
          <cell r="BD57">
            <v>3.095268490159838</v>
          </cell>
          <cell r="BE57">
            <v>4.5630235721245294</v>
          </cell>
          <cell r="BF57">
            <v>6.5382236428579263</v>
          </cell>
          <cell r="BG57">
            <v>9.0691332906160085</v>
          </cell>
          <cell r="BH57">
            <v>12.208128374201708</v>
          </cell>
          <cell r="BI57">
            <v>16.012291398193099</v>
          </cell>
          <cell r="BJ57">
            <v>20.543623015545652</v>
          </cell>
          <cell r="BL57">
            <v>94.920863408488685</v>
          </cell>
        </row>
        <row r="58">
          <cell r="A58">
            <v>10000842</v>
          </cell>
          <cell r="B58">
            <v>0</v>
          </cell>
          <cell r="C58" t="str">
            <v>CP9</v>
          </cell>
          <cell r="D58" t="str">
            <v>USD</v>
          </cell>
          <cell r="E58">
            <v>53</v>
          </cell>
          <cell r="F58" t="str">
            <v>F</v>
          </cell>
          <cell r="G58">
            <v>35055</v>
          </cell>
          <cell r="H58">
            <v>1</v>
          </cell>
          <cell r="I58">
            <v>20000</v>
          </cell>
          <cell r="J58">
            <v>4406</v>
          </cell>
          <cell r="K58">
            <v>2060</v>
          </cell>
          <cell r="L58">
            <v>2060</v>
          </cell>
          <cell r="M58">
            <v>9</v>
          </cell>
          <cell r="N58">
            <v>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17319.716241134141</v>
          </cell>
          <cell r="X58">
            <v>0</v>
          </cell>
          <cell r="Y58">
            <v>0</v>
          </cell>
          <cell r="Z58">
            <v>0</v>
          </cell>
          <cell r="AB58">
            <v>2145.0039535130622</v>
          </cell>
          <cell r="AC58">
            <v>0</v>
          </cell>
          <cell r="AD58">
            <v>0</v>
          </cell>
          <cell r="AE58">
            <v>0</v>
          </cell>
          <cell r="AH58">
            <v>94</v>
          </cell>
          <cell r="AI58">
            <v>84</v>
          </cell>
          <cell r="AJ58">
            <v>1</v>
          </cell>
          <cell r="AK58">
            <v>0.10725019767565311</v>
          </cell>
          <cell r="AL58">
            <v>0</v>
          </cell>
          <cell r="AM58">
            <v>4.615937320586927E-2</v>
          </cell>
          <cell r="AN58">
            <v>0.15231316335407086</v>
          </cell>
          <cell r="AO58">
            <v>0.26174446650920002</v>
          </cell>
          <cell r="AP58">
            <v>0.37467062155664704</v>
          </cell>
          <cell r="AQ58">
            <v>0.49132321082541441</v>
          </cell>
          <cell r="AR58">
            <v>0.61193358565661504</v>
          </cell>
          <cell r="AS58">
            <v>0.73673473836766701</v>
          </cell>
          <cell r="AT58">
            <v>0.86598581205670699</v>
          </cell>
          <cell r="AU58">
            <v>1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1.5509739969518934</v>
          </cell>
          <cell r="BD58">
            <v>4.2372871325420522</v>
          </cell>
          <cell r="BE58">
            <v>6.192207967606838</v>
          </cell>
          <cell r="BF58">
            <v>8.813677832711468</v>
          </cell>
          <cell r="BG58">
            <v>12.169748907258883</v>
          </cell>
          <cell r="BH58">
            <v>16.335516919056321</v>
          </cell>
          <cell r="BI58">
            <v>21.394198374952698</v>
          </cell>
          <cell r="BJ58" t="str">
            <v/>
          </cell>
          <cell r="BL58">
            <v>326.71033838112641</v>
          </cell>
        </row>
        <row r="59">
          <cell r="A59">
            <v>10000842</v>
          </cell>
          <cell r="B59">
            <v>3</v>
          </cell>
          <cell r="C59" t="str">
            <v>E8</v>
          </cell>
          <cell r="D59" t="str">
            <v>USD</v>
          </cell>
          <cell r="E59">
            <v>53</v>
          </cell>
          <cell r="F59" t="str">
            <v>F</v>
          </cell>
          <cell r="G59">
            <v>35055</v>
          </cell>
          <cell r="H59">
            <v>1</v>
          </cell>
          <cell r="I59">
            <v>20000</v>
          </cell>
          <cell r="J59">
            <v>2346</v>
          </cell>
          <cell r="K59">
            <v>2346</v>
          </cell>
          <cell r="L59">
            <v>2346</v>
          </cell>
          <cell r="M59">
            <v>8</v>
          </cell>
          <cell r="N59">
            <v>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20000</v>
          </cell>
          <cell r="X59">
            <v>0</v>
          </cell>
          <cell r="Y59">
            <v>0</v>
          </cell>
          <cell r="Z59">
            <v>0</v>
          </cell>
          <cell r="AB59">
            <v>2434.4698136685029</v>
          </cell>
          <cell r="AC59">
            <v>0</v>
          </cell>
          <cell r="AD59">
            <v>0</v>
          </cell>
          <cell r="AE59">
            <v>0</v>
          </cell>
          <cell r="AH59">
            <v>94</v>
          </cell>
          <cell r="AI59">
            <v>84</v>
          </cell>
          <cell r="AJ59">
            <v>1</v>
          </cell>
          <cell r="AK59">
            <v>0.12172349068342514</v>
          </cell>
          <cell r="AL59">
            <v>0</v>
          </cell>
          <cell r="AM59">
            <v>6.0054053053208545E-2</v>
          </cell>
          <cell r="AN59">
            <v>0.18151210715654897</v>
          </cell>
          <cell r="AO59">
            <v>0.30680049996267278</v>
          </cell>
          <cell r="AP59">
            <v>0.43617329824281303</v>
          </cell>
          <cell r="AQ59">
            <v>0.56989994025923074</v>
          </cell>
          <cell r="AR59">
            <v>0.70825252253347515</v>
          </cell>
          <cell r="AS59">
            <v>0.85151251904893477</v>
          </cell>
          <cell r="AT59">
            <v>1</v>
          </cell>
          <cell r="AU59" t="str">
            <v/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1.7880085071737946</v>
          </cell>
          <cell r="BD59">
            <v>5.3628514190809815</v>
          </cell>
          <cell r="BE59">
            <v>8.0841090393893893</v>
          </cell>
          <cell r="BF59">
            <v>11.768182556760937</v>
          </cell>
          <cell r="BG59">
            <v>16.081907397061329</v>
          </cell>
          <cell r="BH59">
            <v>21.370494923930501</v>
          </cell>
          <cell r="BI59" t="str">
            <v/>
          </cell>
          <cell r="BJ59" t="str">
            <v/>
          </cell>
          <cell r="BL59">
            <v>427.40989847861005</v>
          </cell>
        </row>
        <row r="60">
          <cell r="A60">
            <v>10000861</v>
          </cell>
          <cell r="B60">
            <v>0</v>
          </cell>
          <cell r="C60" t="str">
            <v>CP14</v>
          </cell>
          <cell r="D60" t="str">
            <v>USD</v>
          </cell>
          <cell r="E60">
            <v>40</v>
          </cell>
          <cell r="F60" t="str">
            <v>M</v>
          </cell>
          <cell r="G60">
            <v>35031</v>
          </cell>
          <cell r="H60">
            <v>2</v>
          </cell>
          <cell r="I60">
            <v>10000</v>
          </cell>
          <cell r="J60">
            <v>573.04</v>
          </cell>
          <cell r="K60">
            <v>324.99999999999994</v>
          </cell>
          <cell r="L60">
            <v>649.99999999999989</v>
          </cell>
          <cell r="M60">
            <v>14</v>
          </cell>
          <cell r="N60">
            <v>14</v>
          </cell>
          <cell r="O60">
            <v>10000</v>
          </cell>
          <cell r="P60">
            <v>26</v>
          </cell>
          <cell r="Q60">
            <v>0</v>
          </cell>
          <cell r="R60">
            <v>0</v>
          </cell>
          <cell r="T60">
            <v>27.31</v>
          </cell>
          <cell r="U60">
            <v>32.5</v>
          </cell>
          <cell r="W60">
            <v>4938.8185732917964</v>
          </cell>
          <cell r="X60">
            <v>26</v>
          </cell>
          <cell r="Y60">
            <v>0</v>
          </cell>
          <cell r="Z60">
            <v>65</v>
          </cell>
          <cell r="AB60">
            <v>644.43226249175029</v>
          </cell>
          <cell r="AC60">
            <v>26</v>
          </cell>
          <cell r="AD60">
            <v>0</v>
          </cell>
          <cell r="AE60">
            <v>32.5</v>
          </cell>
          <cell r="AH60">
            <v>95</v>
          </cell>
          <cell r="AI60">
            <v>84</v>
          </cell>
          <cell r="AJ60">
            <v>2</v>
          </cell>
          <cell r="AK60">
            <v>6.4443226249175034E-2</v>
          </cell>
          <cell r="AL60">
            <v>0</v>
          </cell>
          <cell r="AM60">
            <v>5.6923217923062763E-3</v>
          </cell>
          <cell r="AN60">
            <v>6.9833406215931704E-2</v>
          </cell>
          <cell r="AO60">
            <v>0.13571996654992358</v>
          </cell>
          <cell r="AP60">
            <v>0.2034149794088993</v>
          </cell>
          <cell r="AQ60">
            <v>0.2729939900347641</v>
          </cell>
          <cell r="AR60">
            <v>0.34453920310933195</v>
          </cell>
          <cell r="AS60">
            <v>0.41813585037410111</v>
          </cell>
          <cell r="AT60">
            <v>0.49388185732917966</v>
          </cell>
          <cell r="AU60">
            <v>0.57188042011238283</v>
          </cell>
          <cell r="AW60">
            <v>0</v>
          </cell>
          <cell r="AY60">
            <v>1</v>
          </cell>
          <cell r="AZ60">
            <v>0</v>
          </cell>
          <cell r="BA60">
            <v>1</v>
          </cell>
          <cell r="BC60">
            <v>0.85985443884794321</v>
          </cell>
          <cell r="BD60">
            <v>2.0455844766964146</v>
          </cell>
          <cell r="BE60">
            <v>3.0344842483112835</v>
          </cell>
          <cell r="BF60">
            <v>4.379951560760329</v>
          </cell>
          <cell r="BG60">
            <v>6.1158070001638309</v>
          </cell>
          <cell r="BH60">
            <v>8.2789881304807249</v>
          </cell>
          <cell r="BI60">
            <v>10.909980343218171</v>
          </cell>
          <cell r="BJ60">
            <v>14.053077697588703</v>
          </cell>
          <cell r="BL60">
            <v>82.789881304807253</v>
          </cell>
        </row>
        <row r="61">
          <cell r="A61">
            <v>10000861</v>
          </cell>
          <cell r="B61">
            <v>1</v>
          </cell>
          <cell r="C61" t="str">
            <v>E11</v>
          </cell>
          <cell r="D61" t="str">
            <v>USD</v>
          </cell>
          <cell r="E61">
            <v>40</v>
          </cell>
          <cell r="F61" t="str">
            <v>M</v>
          </cell>
          <cell r="G61">
            <v>35031</v>
          </cell>
          <cell r="H61">
            <v>2</v>
          </cell>
          <cell r="I61">
            <v>3000</v>
          </cell>
          <cell r="J61">
            <v>127.92</v>
          </cell>
          <cell r="K61">
            <v>127.92</v>
          </cell>
          <cell r="L61">
            <v>255.84</v>
          </cell>
          <cell r="M61">
            <v>11</v>
          </cell>
          <cell r="N61">
            <v>11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T61">
            <v>6.02</v>
          </cell>
          <cell r="U61">
            <v>12.04</v>
          </cell>
          <cell r="W61">
            <v>2028.8551817746534</v>
          </cell>
          <cell r="X61">
            <v>0</v>
          </cell>
          <cell r="Y61">
            <v>0</v>
          </cell>
          <cell r="Z61">
            <v>24.08</v>
          </cell>
          <cell r="AB61">
            <v>253.76830193112212</v>
          </cell>
          <cell r="AC61">
            <v>0</v>
          </cell>
          <cell r="AD61">
            <v>0</v>
          </cell>
          <cell r="AE61">
            <v>12.04</v>
          </cell>
          <cell r="AH61">
            <v>95</v>
          </cell>
          <cell r="AI61">
            <v>84</v>
          </cell>
          <cell r="AJ61">
            <v>2</v>
          </cell>
          <cell r="AK61">
            <v>8.4589433977040704E-2</v>
          </cell>
          <cell r="AL61">
            <v>0</v>
          </cell>
          <cell r="AM61">
            <v>2.5042983531515572E-2</v>
          </cell>
          <cell r="AN61">
            <v>0.11034558653614912</v>
          </cell>
          <cell r="AO61">
            <v>0.1980442752662176</v>
          </cell>
          <cell r="AP61">
            <v>0.28823474592134457</v>
          </cell>
          <cell r="AQ61">
            <v>0.38102837878841767</v>
          </cell>
          <cell r="AR61">
            <v>0.47654634843056887</v>
          </cell>
          <cell r="AS61">
            <v>0.57491710343687108</v>
          </cell>
          <cell r="AT61">
            <v>0.67628506059155113</v>
          </cell>
          <cell r="AU61">
            <v>0.7808052360947948</v>
          </cell>
          <cell r="AW61">
            <v>0</v>
          </cell>
          <cell r="AY61">
            <v>0</v>
          </cell>
          <cell r="AZ61">
            <v>0</v>
          </cell>
          <cell r="BA61">
            <v>1</v>
          </cell>
          <cell r="BC61">
            <v>1.1836248995707359</v>
          </cell>
          <cell r="BD61">
            <v>3.105979585531184</v>
          </cell>
          <cell r="BE61">
            <v>4.5695488401022821</v>
          </cell>
          <cell r="BF61">
            <v>6.5393675921351395</v>
          </cell>
          <cell r="BG61">
            <v>9.0642178437046361</v>
          </cell>
          <cell r="BH61">
            <v>12.197537359832872</v>
          </cell>
          <cell r="BI61">
            <v>15.998021068249869</v>
          </cell>
          <cell r="BJ61">
            <v>20.530097481916442</v>
          </cell>
          <cell r="BL61">
            <v>36.592612079498615</v>
          </cell>
        </row>
        <row r="62">
          <cell r="A62">
            <v>10000861</v>
          </cell>
          <cell r="B62">
            <v>2</v>
          </cell>
          <cell r="C62" t="str">
            <v>E8</v>
          </cell>
          <cell r="D62" t="str">
            <v>USD</v>
          </cell>
          <cell r="E62">
            <v>40</v>
          </cell>
          <cell r="F62" t="str">
            <v>M</v>
          </cell>
          <cell r="G62">
            <v>35031</v>
          </cell>
          <cell r="H62">
            <v>2</v>
          </cell>
          <cell r="I62">
            <v>2000</v>
          </cell>
          <cell r="J62">
            <v>120.12</v>
          </cell>
          <cell r="K62">
            <v>120.12</v>
          </cell>
          <cell r="L62">
            <v>240.24</v>
          </cell>
          <cell r="M62">
            <v>8</v>
          </cell>
          <cell r="N62">
            <v>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5.04</v>
          </cell>
          <cell r="U62">
            <v>10.08</v>
          </cell>
          <cell r="W62">
            <v>2000</v>
          </cell>
          <cell r="X62">
            <v>0</v>
          </cell>
          <cell r="Y62">
            <v>0</v>
          </cell>
          <cell r="Z62">
            <v>20.16</v>
          </cell>
          <cell r="AB62">
            <v>240.34710031856835</v>
          </cell>
          <cell r="AC62">
            <v>0</v>
          </cell>
          <cell r="AD62">
            <v>0</v>
          </cell>
          <cell r="AE62">
            <v>10.08</v>
          </cell>
          <cell r="AH62">
            <v>95</v>
          </cell>
          <cell r="AI62">
            <v>84</v>
          </cell>
          <cell r="AJ62">
            <v>2</v>
          </cell>
          <cell r="AK62">
            <v>0.12017355015928417</v>
          </cell>
          <cell r="AL62">
            <v>0</v>
          </cell>
          <cell r="AM62">
            <v>5.921573541360603E-2</v>
          </cell>
          <cell r="AN62">
            <v>0.18203879921491151</v>
          </cell>
          <cell r="AO62">
            <v>0.30842805573345045</v>
          </cell>
          <cell r="AP62">
            <v>0.43853988789619491</v>
          </cell>
          <cell r="AQ62">
            <v>0.57255167728341594</v>
          </cell>
          <cell r="AR62">
            <v>0.71065637504742263</v>
          </cell>
          <cell r="AS62">
            <v>0.85306245957307614</v>
          </cell>
          <cell r="AT62">
            <v>1</v>
          </cell>
          <cell r="AU62" t="str">
            <v/>
          </cell>
          <cell r="AW62">
            <v>0</v>
          </cell>
          <cell r="AY62">
            <v>0</v>
          </cell>
          <cell r="AZ62">
            <v>0</v>
          </cell>
          <cell r="BA62">
            <v>1</v>
          </cell>
          <cell r="BC62">
            <v>1.7619758265826806</v>
          </cell>
          <cell r="BD62">
            <v>5.357019699697803</v>
          </cell>
          <cell r="BE62">
            <v>8.0915725412685298</v>
          </cell>
          <cell r="BF62">
            <v>11.785450673083652</v>
          </cell>
          <cell r="BG62">
            <v>16.098788148178045</v>
          </cell>
          <cell r="BH62">
            <v>21.373098191989619</v>
          </cell>
          <cell r="BI62" t="str">
            <v/>
          </cell>
          <cell r="BJ62" t="str">
            <v/>
          </cell>
          <cell r="BL62">
            <v>42.746196383979239</v>
          </cell>
        </row>
        <row r="63">
          <cell r="A63">
            <v>10000907</v>
          </cell>
          <cell r="B63">
            <v>0</v>
          </cell>
          <cell r="C63" t="str">
            <v>CP8</v>
          </cell>
          <cell r="D63" t="str">
            <v>USD</v>
          </cell>
          <cell r="E63">
            <v>35</v>
          </cell>
          <cell r="F63" t="str">
            <v>M</v>
          </cell>
          <cell r="G63">
            <v>35024</v>
          </cell>
          <cell r="H63">
            <v>1</v>
          </cell>
          <cell r="I63">
            <v>3861</v>
          </cell>
          <cell r="J63">
            <v>444.02</v>
          </cell>
          <cell r="K63">
            <v>444.02</v>
          </cell>
          <cell r="L63">
            <v>444.02</v>
          </cell>
          <cell r="M63">
            <v>8</v>
          </cell>
          <cell r="N63">
            <v>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3861</v>
          </cell>
          <cell r="X63">
            <v>0</v>
          </cell>
          <cell r="Y63">
            <v>0</v>
          </cell>
          <cell r="Z63">
            <v>0</v>
          </cell>
          <cell r="AB63">
            <v>462.34524339082287</v>
          </cell>
          <cell r="AC63">
            <v>0</v>
          </cell>
          <cell r="AD63">
            <v>0</v>
          </cell>
          <cell r="AE63">
            <v>0</v>
          </cell>
          <cell r="AH63">
            <v>95</v>
          </cell>
          <cell r="AI63">
            <v>84</v>
          </cell>
          <cell r="AJ63">
            <v>1</v>
          </cell>
          <cell r="AK63">
            <v>0.11974753778576092</v>
          </cell>
          <cell r="AL63">
            <v>0</v>
          </cell>
          <cell r="AM63">
            <v>5.9062534049846627E-2</v>
          </cell>
          <cell r="AN63">
            <v>0.18217850193600138</v>
          </cell>
          <cell r="AO63">
            <v>0.3088238236782197</v>
          </cell>
          <cell r="AP63">
            <v>0.43912953689680717</v>
          </cell>
          <cell r="AQ63">
            <v>0.57323524685723126</v>
          </cell>
          <cell r="AR63">
            <v>0.711296752750323</v>
          </cell>
          <cell r="AS63">
            <v>0.85348847194659905</v>
          </cell>
          <cell r="AT63">
            <v>1</v>
          </cell>
          <cell r="AU63" t="str">
            <v/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1.7552442503467385</v>
          </cell>
          <cell r="BD63">
            <v>5.354275414615012</v>
          </cell>
          <cell r="BE63">
            <v>8.0921513124413327</v>
          </cell>
          <cell r="BF63">
            <v>11.788838140687222</v>
          </cell>
          <cell r="BG63">
            <v>16.102635451439518</v>
          </cell>
          <cell r="BH63">
            <v>21.373771349613211</v>
          </cell>
          <cell r="BI63" t="str">
            <v/>
          </cell>
          <cell r="BJ63" t="str">
            <v/>
          </cell>
          <cell r="BL63">
            <v>82.524131180856614</v>
          </cell>
        </row>
        <row r="64">
          <cell r="A64">
            <v>10001276</v>
          </cell>
          <cell r="B64">
            <v>0</v>
          </cell>
          <cell r="C64" t="str">
            <v>CP17</v>
          </cell>
          <cell r="D64" t="str">
            <v>USD</v>
          </cell>
          <cell r="E64">
            <v>36</v>
          </cell>
          <cell r="F64" t="str">
            <v>F</v>
          </cell>
          <cell r="G64">
            <v>35168</v>
          </cell>
          <cell r="H64">
            <v>1</v>
          </cell>
          <cell r="I64">
            <v>50000</v>
          </cell>
          <cell r="J64">
            <v>2480</v>
          </cell>
          <cell r="K64">
            <v>2480</v>
          </cell>
          <cell r="L64">
            <v>2480</v>
          </cell>
          <cell r="M64">
            <v>17</v>
          </cell>
          <cell r="N64">
            <v>17</v>
          </cell>
          <cell r="O64">
            <v>50000</v>
          </cell>
          <cell r="P64">
            <v>125</v>
          </cell>
          <cell r="Q64">
            <v>50000</v>
          </cell>
          <cell r="R64">
            <v>220</v>
          </cell>
          <cell r="T64">
            <v>112.22</v>
          </cell>
          <cell r="U64">
            <v>112.22</v>
          </cell>
          <cell r="W64">
            <v>19154.309567775988</v>
          </cell>
          <cell r="X64">
            <v>125</v>
          </cell>
          <cell r="Y64">
            <v>88</v>
          </cell>
          <cell r="Z64">
            <v>224.44</v>
          </cell>
          <cell r="AB64">
            <v>2516.6914962437227</v>
          </cell>
          <cell r="AC64">
            <v>125</v>
          </cell>
          <cell r="AD64">
            <v>176</v>
          </cell>
          <cell r="AE64">
            <v>112.22</v>
          </cell>
          <cell r="AH64">
            <v>90</v>
          </cell>
          <cell r="AI64">
            <v>84</v>
          </cell>
          <cell r="AJ64">
            <v>1</v>
          </cell>
          <cell r="AK64">
            <v>5.0333829924874451E-2</v>
          </cell>
          <cell r="AL64">
            <v>0</v>
          </cell>
          <cell r="AM64">
            <v>7.3854499397740803E-4</v>
          </cell>
          <cell r="AN64">
            <v>5.1091558584454466E-2</v>
          </cell>
          <cell r="AO64">
            <v>0.10279092172789561</v>
          </cell>
          <cell r="AP64">
            <v>0.1558764711349736</v>
          </cell>
          <cell r="AQ64">
            <v>0.210392170323495</v>
          </cell>
          <cell r="AR64">
            <v>0.26639187640016398</v>
          </cell>
          <cell r="AS64">
            <v>0.32393304416917301</v>
          </cell>
          <cell r="AT64">
            <v>0.3830861913555198</v>
          </cell>
          <cell r="AU64">
            <v>0.44391097414397979</v>
          </cell>
          <cell r="AW64">
            <v>6</v>
          </cell>
          <cell r="AY64">
            <v>1</v>
          </cell>
          <cell r="AZ64">
            <v>0.8</v>
          </cell>
          <cell r="BA64">
            <v>1</v>
          </cell>
          <cell r="BC64">
            <v>0.64890911722880318</v>
          </cell>
          <cell r="BD64">
            <v>1.3708676751931959</v>
          </cell>
          <cell r="BE64">
            <v>2.0629325434706103</v>
          </cell>
          <cell r="BF64">
            <v>3.0184252715118114</v>
          </cell>
          <cell r="BG64">
            <v>4.2620115431091534</v>
          </cell>
          <cell r="BH64">
            <v>5.8205743243522949</v>
          </cell>
          <cell r="BI64">
            <v>7.7235596303876246</v>
          </cell>
          <cell r="BJ64">
            <v>10.002878435794166</v>
          </cell>
          <cell r="BL64">
            <v>291.02871621761477</v>
          </cell>
        </row>
        <row r="65">
          <cell r="A65">
            <v>10001404</v>
          </cell>
          <cell r="B65">
            <v>0</v>
          </cell>
          <cell r="C65" t="str">
            <v>CP15</v>
          </cell>
          <cell r="D65" t="str">
            <v>USD</v>
          </cell>
          <cell r="E65">
            <v>35</v>
          </cell>
          <cell r="F65" t="str">
            <v>M</v>
          </cell>
          <cell r="G65">
            <v>35199</v>
          </cell>
          <cell r="H65">
            <v>1</v>
          </cell>
          <cell r="I65">
            <v>10000</v>
          </cell>
          <cell r="J65">
            <v>753.6</v>
          </cell>
          <cell r="K65">
            <v>578</v>
          </cell>
          <cell r="L65">
            <v>578</v>
          </cell>
          <cell r="M65">
            <v>15</v>
          </cell>
          <cell r="N65">
            <v>15</v>
          </cell>
          <cell r="O65">
            <v>10000</v>
          </cell>
          <cell r="P65">
            <v>25</v>
          </cell>
          <cell r="Q65">
            <v>0</v>
          </cell>
          <cell r="R65">
            <v>0</v>
          </cell>
          <cell r="T65">
            <v>26.49</v>
          </cell>
          <cell r="U65">
            <v>20.81</v>
          </cell>
          <cell r="W65">
            <v>4507.372683165604</v>
          </cell>
          <cell r="X65">
            <v>25</v>
          </cell>
          <cell r="Y65">
            <v>0</v>
          </cell>
          <cell r="Z65">
            <v>41.62</v>
          </cell>
          <cell r="AB65">
            <v>590.12772700442122</v>
          </cell>
          <cell r="AC65">
            <v>25</v>
          </cell>
          <cell r="AD65">
            <v>0</v>
          </cell>
          <cell r="AE65">
            <v>20.81</v>
          </cell>
          <cell r="AH65">
            <v>89</v>
          </cell>
          <cell r="AI65">
            <v>84</v>
          </cell>
          <cell r="AJ65">
            <v>1</v>
          </cell>
          <cell r="AK65">
            <v>5.9012772700442126E-2</v>
          </cell>
          <cell r="AL65">
            <v>0</v>
          </cell>
          <cell r="AM65">
            <v>6.8721717176656316E-4</v>
          </cell>
          <cell r="AN65">
            <v>5.9850079069975193E-2</v>
          </cell>
          <cell r="AO65">
            <v>0.12063384381068576</v>
          </cell>
          <cell r="AP65">
            <v>0.18308903558492307</v>
          </cell>
          <cell r="AQ65">
            <v>0.24726572468884045</v>
          </cell>
          <cell r="AR65">
            <v>0.31322020358787883</v>
          </cell>
          <cell r="AS65">
            <v>0.38101969074886899</v>
          </cell>
          <cell r="AT65">
            <v>0.45073726831656036</v>
          </cell>
          <cell r="AU65">
            <v>0.5224490034269299</v>
          </cell>
          <cell r="AW65">
            <v>0</v>
          </cell>
          <cell r="AY65">
            <v>1</v>
          </cell>
          <cell r="AZ65">
            <v>0</v>
          </cell>
          <cell r="BA65">
            <v>1</v>
          </cell>
          <cell r="BC65">
            <v>0.77545856206747776</v>
          </cell>
          <cell r="BD65">
            <v>1.7842773807410492</v>
          </cell>
          <cell r="BE65">
            <v>2.6610701081755881</v>
          </cell>
          <cell r="BF65">
            <v>3.8593969393120946</v>
          </cell>
          <cell r="BG65">
            <v>5.4094820041075513</v>
          </cell>
          <cell r="BH65">
            <v>7.3443132793238428</v>
          </cell>
          <cell r="BI65">
            <v>9.6998730609559338</v>
          </cell>
          <cell r="BJ65">
            <v>12.515371133670746</v>
          </cell>
          <cell r="BL65">
            <v>73.443132793238433</v>
          </cell>
        </row>
        <row r="66">
          <cell r="A66">
            <v>10001404</v>
          </cell>
          <cell r="B66">
            <v>1</v>
          </cell>
          <cell r="C66" t="str">
            <v>E12</v>
          </cell>
          <cell r="D66" t="str">
            <v>USD</v>
          </cell>
          <cell r="E66">
            <v>35</v>
          </cell>
          <cell r="F66" t="str">
            <v>M</v>
          </cell>
          <cell r="G66">
            <v>35199</v>
          </cell>
          <cell r="H66">
            <v>1</v>
          </cell>
          <cell r="I66">
            <v>1000</v>
          </cell>
          <cell r="J66">
            <v>74.7</v>
          </cell>
          <cell r="K66">
            <v>74.7</v>
          </cell>
          <cell r="L66">
            <v>74.7</v>
          </cell>
          <cell r="M66">
            <v>12</v>
          </cell>
          <cell r="N66">
            <v>12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T66">
            <v>2.5499999999999998</v>
          </cell>
          <cell r="U66">
            <v>2.5499999999999998</v>
          </cell>
          <cell r="W66">
            <v>606.07050536407189</v>
          </cell>
          <cell r="X66">
            <v>0</v>
          </cell>
          <cell r="Y66">
            <v>0</v>
          </cell>
          <cell r="Z66">
            <v>5.0999999999999996</v>
          </cell>
          <cell r="AB66">
            <v>76.23588156340135</v>
          </cell>
          <cell r="AC66">
            <v>0</v>
          </cell>
          <cell r="AD66">
            <v>0</v>
          </cell>
          <cell r="AE66">
            <v>2.5499999999999998</v>
          </cell>
          <cell r="AH66">
            <v>89</v>
          </cell>
          <cell r="AI66">
            <v>84</v>
          </cell>
          <cell r="AJ66">
            <v>1</v>
          </cell>
          <cell r="AK66">
            <v>7.6235881563401345E-2</v>
          </cell>
          <cell r="AL66">
            <v>0</v>
          </cell>
          <cell r="AM66">
            <v>1.7253132768692003E-2</v>
          </cell>
          <cell r="AN66">
            <v>9.4510463360446328E-2</v>
          </cell>
          <cell r="AO66">
            <v>0.17392436509705367</v>
          </cell>
          <cell r="AP66">
            <v>0.25556742511494068</v>
          </cell>
          <cell r="AQ66">
            <v>0.33951406870372275</v>
          </cell>
          <cell r="AR66">
            <v>0.42584767158709591</v>
          </cell>
          <cell r="AS66">
            <v>0.514664817863556</v>
          </cell>
          <cell r="AT66">
            <v>0.60607050536407192</v>
          </cell>
          <cell r="AU66">
            <v>0.70017651763479827</v>
          </cell>
          <cell r="AW66">
            <v>0</v>
          </cell>
          <cell r="AY66">
            <v>0</v>
          </cell>
          <cell r="AZ66">
            <v>0</v>
          </cell>
          <cell r="BA66">
            <v>1</v>
          </cell>
          <cell r="BC66">
            <v>1.0501084688763187</v>
          </cell>
          <cell r="BD66">
            <v>2.6848079265329914</v>
          </cell>
          <cell r="BE66">
            <v>3.9645747711522557</v>
          </cell>
          <cell r="BF66">
            <v>5.6924920449946015</v>
          </cell>
          <cell r="BG66">
            <v>7.9111417016979786</v>
          </cell>
          <cell r="BH66">
            <v>10.667068630548108</v>
          </cell>
          <cell r="BI66">
            <v>14.011135778408013</v>
          </cell>
          <cell r="BJ66">
            <v>17.998914216991963</v>
          </cell>
          <cell r="BL66">
            <v>10.667068630548108</v>
          </cell>
        </row>
        <row r="67">
          <cell r="A67">
            <v>10001404</v>
          </cell>
          <cell r="B67">
            <v>2</v>
          </cell>
          <cell r="C67" t="str">
            <v>E9</v>
          </cell>
          <cell r="D67" t="str">
            <v>USD</v>
          </cell>
          <cell r="E67">
            <v>35</v>
          </cell>
          <cell r="F67" t="str">
            <v>M</v>
          </cell>
          <cell r="G67">
            <v>35199</v>
          </cell>
          <cell r="H67">
            <v>1</v>
          </cell>
          <cell r="I67">
            <v>1000</v>
          </cell>
          <cell r="J67">
            <v>100.9</v>
          </cell>
          <cell r="K67">
            <v>100.9</v>
          </cell>
          <cell r="L67">
            <v>100.9</v>
          </cell>
          <cell r="M67">
            <v>9</v>
          </cell>
          <cell r="N67">
            <v>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T67">
            <v>3.13</v>
          </cell>
          <cell r="U67">
            <v>3.13</v>
          </cell>
          <cell r="W67">
            <v>868.04764843566079</v>
          </cell>
          <cell r="X67">
            <v>0</v>
          </cell>
          <cell r="Y67">
            <v>0</v>
          </cell>
          <cell r="Z67">
            <v>6.26</v>
          </cell>
          <cell r="AB67">
            <v>105.18836129669889</v>
          </cell>
          <cell r="AC67">
            <v>0</v>
          </cell>
          <cell r="AD67">
            <v>0</v>
          </cell>
          <cell r="AE67">
            <v>3.13</v>
          </cell>
          <cell r="AH67">
            <v>89</v>
          </cell>
          <cell r="AI67">
            <v>84</v>
          </cell>
          <cell r="AJ67">
            <v>1</v>
          </cell>
          <cell r="AK67">
            <v>0.10518836129669888</v>
          </cell>
          <cell r="AL67">
            <v>0</v>
          </cell>
          <cell r="AM67">
            <v>4.5087488370136097E-2</v>
          </cell>
          <cell r="AN67">
            <v>0.15284429853927228</v>
          </cell>
          <cell r="AO67">
            <v>0.26366912967947209</v>
          </cell>
          <cell r="AP67">
            <v>0.37767318339289907</v>
          </cell>
          <cell r="AQ67">
            <v>0.4949738807951371</v>
          </cell>
          <cell r="AR67">
            <v>0.61570237719468757</v>
          </cell>
          <cell r="AS67">
            <v>0.74000667252916141</v>
          </cell>
          <cell r="AT67">
            <v>0.86804764843566085</v>
          </cell>
          <cell r="AU67">
            <v>1</v>
          </cell>
          <cell r="AW67">
            <v>0</v>
          </cell>
          <cell r="AY67">
            <v>0</v>
          </cell>
          <cell r="AZ67">
            <v>0</v>
          </cell>
          <cell r="BA67">
            <v>1</v>
          </cell>
          <cell r="BC67">
            <v>1.5184052154108285</v>
          </cell>
          <cell r="BD67">
            <v>4.2237466676747468</v>
          </cell>
          <cell r="BE67">
            <v>6.193546276009517</v>
          </cell>
          <cell r="BF67">
            <v>8.8287069330130485</v>
          </cell>
          <cell r="BG67">
            <v>12.193240517766398</v>
          </cell>
          <cell r="BH67">
            <v>16.357237874846412</v>
          </cell>
          <cell r="BI67">
            <v>21.397455253106809</v>
          </cell>
          <cell r="BJ67" t="str">
            <v/>
          </cell>
          <cell r="BL67">
            <v>16.357237874846412</v>
          </cell>
        </row>
        <row r="68">
          <cell r="A68">
            <v>10001421</v>
          </cell>
          <cell r="B68">
            <v>0</v>
          </cell>
          <cell r="C68" t="str">
            <v>CP18</v>
          </cell>
          <cell r="D68" t="str">
            <v>USD</v>
          </cell>
          <cell r="E68">
            <v>45</v>
          </cell>
          <cell r="F68" t="str">
            <v>M</v>
          </cell>
          <cell r="G68">
            <v>35213</v>
          </cell>
          <cell r="H68">
            <v>1</v>
          </cell>
          <cell r="I68">
            <v>10823</v>
          </cell>
          <cell r="J68">
            <v>780.87</v>
          </cell>
          <cell r="K68">
            <v>500.02</v>
          </cell>
          <cell r="L68">
            <v>500.02</v>
          </cell>
          <cell r="M68">
            <v>18</v>
          </cell>
          <cell r="N68">
            <v>18</v>
          </cell>
          <cell r="O68">
            <v>10823</v>
          </cell>
          <cell r="P68">
            <v>27.06</v>
          </cell>
          <cell r="Q68">
            <v>0</v>
          </cell>
          <cell r="R68">
            <v>0</v>
          </cell>
          <cell r="T68">
            <v>55.92</v>
          </cell>
          <cell r="U68">
            <v>36.5</v>
          </cell>
          <cell r="W68">
            <v>3837.9611751011375</v>
          </cell>
          <cell r="X68">
            <v>27.06</v>
          </cell>
          <cell r="Y68">
            <v>0</v>
          </cell>
          <cell r="Z68">
            <v>73</v>
          </cell>
          <cell r="AB68">
            <v>522.49033243612507</v>
          </cell>
          <cell r="AC68">
            <v>27.06</v>
          </cell>
          <cell r="AD68">
            <v>0</v>
          </cell>
          <cell r="AE68">
            <v>36.5</v>
          </cell>
          <cell r="AH68">
            <v>89</v>
          </cell>
          <cell r="AI68">
            <v>84</v>
          </cell>
          <cell r="AJ68">
            <v>1</v>
          </cell>
          <cell r="AK68">
            <v>4.8275924645303989E-2</v>
          </cell>
          <cell r="AL68">
            <v>0</v>
          </cell>
          <cell r="AM68">
            <v>1.7558769309661271E-3</v>
          </cell>
          <cell r="AN68">
            <v>4.8338050839985769E-2</v>
          </cell>
          <cell r="AO68">
            <v>9.6121139701276448E-2</v>
          </cell>
          <cell r="AP68">
            <v>0.14515107177530506</v>
          </cell>
          <cell r="AQ68">
            <v>0.19546883296230899</v>
          </cell>
          <cell r="AR68">
            <v>0.24712265623969837</v>
          </cell>
          <cell r="AS68">
            <v>0.30015078503135101</v>
          </cell>
          <cell r="AT68">
            <v>0.35461158413574217</v>
          </cell>
          <cell r="AU68">
            <v>0.41056324577504894</v>
          </cell>
          <cell r="AW68">
            <v>0</v>
          </cell>
          <cell r="AY68">
            <v>1</v>
          </cell>
          <cell r="AZ68">
            <v>0</v>
          </cell>
          <cell r="BA68">
            <v>1</v>
          </cell>
          <cell r="BC68">
            <v>0.61414821151276799</v>
          </cell>
          <cell r="BD68">
            <v>1.2243956047566527</v>
          </cell>
          <cell r="BE68">
            <v>1.8411199181640829</v>
          </cell>
          <cell r="BF68">
            <v>2.6970704258027354</v>
          </cell>
          <cell r="BG68">
            <v>3.8143573972431755</v>
          </cell>
          <cell r="BH68">
            <v>5.2168903021306345</v>
          </cell>
          <cell r="BI68">
            <v>6.9308769271343573</v>
          </cell>
          <cell r="BJ68">
            <v>8.9848313687244321</v>
          </cell>
          <cell r="BL68">
            <v>56.462403739959861</v>
          </cell>
        </row>
        <row r="69">
          <cell r="A69">
            <v>10001421</v>
          </cell>
          <cell r="B69">
            <v>2</v>
          </cell>
          <cell r="C69" t="str">
            <v>E10</v>
          </cell>
          <cell r="D69" t="str">
            <v>USD</v>
          </cell>
          <cell r="E69">
            <v>45</v>
          </cell>
          <cell r="F69" t="str">
            <v>M</v>
          </cell>
          <cell r="G69">
            <v>35213</v>
          </cell>
          <cell r="H69">
            <v>1</v>
          </cell>
          <cell r="I69">
            <v>1500</v>
          </cell>
          <cell r="J69">
            <v>136.35</v>
          </cell>
          <cell r="K69">
            <v>136.35</v>
          </cell>
          <cell r="L69">
            <v>136.35</v>
          </cell>
          <cell r="M69">
            <v>10</v>
          </cell>
          <cell r="N69">
            <v>10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T69">
            <v>8.98</v>
          </cell>
          <cell r="U69">
            <v>8.98</v>
          </cell>
          <cell r="W69">
            <v>1141.633090006821</v>
          </cell>
          <cell r="X69">
            <v>0</v>
          </cell>
          <cell r="Y69">
            <v>0</v>
          </cell>
          <cell r="Z69">
            <v>17.96</v>
          </cell>
          <cell r="AB69">
            <v>142.10774764613595</v>
          </cell>
          <cell r="AC69">
            <v>0</v>
          </cell>
          <cell r="AD69">
            <v>0</v>
          </cell>
          <cell r="AE69">
            <v>8.98</v>
          </cell>
          <cell r="AH69">
            <v>89</v>
          </cell>
          <cell r="AI69">
            <v>84</v>
          </cell>
          <cell r="AJ69">
            <v>1</v>
          </cell>
          <cell r="AK69">
            <v>9.4738498430757295E-2</v>
          </cell>
          <cell r="AL69">
            <v>0</v>
          </cell>
          <cell r="AM69">
            <v>3.4426192889645213E-2</v>
          </cell>
          <cell r="AN69">
            <v>0.1292573976767426</v>
          </cell>
          <cell r="AO69">
            <v>0.22683665166431377</v>
          </cell>
          <cell r="AP69">
            <v>0.32729922717466275</v>
          </cell>
          <cell r="AQ69">
            <v>0.43078606621549381</v>
          </cell>
          <cell r="AR69">
            <v>0.53745853981683978</v>
          </cell>
          <cell r="AS69">
            <v>0.64748917687072394</v>
          </cell>
          <cell r="AT69">
            <v>0.76108872667121408</v>
          </cell>
          <cell r="AU69">
            <v>0.87849751130160281</v>
          </cell>
          <cell r="AW69">
            <v>0</v>
          </cell>
          <cell r="AY69">
            <v>0</v>
          </cell>
          <cell r="AZ69">
            <v>0</v>
          </cell>
          <cell r="BA69">
            <v>1</v>
          </cell>
          <cell r="BC69">
            <v>1.3470408656566726</v>
          </cell>
          <cell r="BD69">
            <v>3.6146134738928035</v>
          </cell>
          <cell r="BE69">
            <v>5.2995641558901108</v>
          </cell>
          <cell r="BF69">
            <v>7.5617163305287676</v>
          </cell>
          <cell r="BG69">
            <v>10.457730209988506</v>
          </cell>
          <cell r="BH69">
            <v>14.049941762053669</v>
          </cell>
          <cell r="BI69">
            <v>18.407449489209949</v>
          </cell>
          <cell r="BJ69">
            <v>23.606901755416818</v>
          </cell>
          <cell r="BL69">
            <v>21.074912643080506</v>
          </cell>
        </row>
        <row r="70">
          <cell r="A70">
            <v>10001421</v>
          </cell>
          <cell r="B70">
            <v>3</v>
          </cell>
          <cell r="C70" t="str">
            <v>E15</v>
          </cell>
          <cell r="D70" t="str">
            <v>USD</v>
          </cell>
          <cell r="E70">
            <v>45</v>
          </cell>
          <cell r="F70" t="str">
            <v>M</v>
          </cell>
          <cell r="G70">
            <v>35213</v>
          </cell>
          <cell r="H70">
            <v>1</v>
          </cell>
          <cell r="I70">
            <v>2500</v>
          </cell>
          <cell r="J70">
            <v>144.5</v>
          </cell>
          <cell r="K70">
            <v>144.5</v>
          </cell>
          <cell r="L70">
            <v>144.5</v>
          </cell>
          <cell r="M70">
            <v>15</v>
          </cell>
          <cell r="N70">
            <v>15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T70">
            <v>10.44</v>
          </cell>
          <cell r="U70">
            <v>10.44</v>
          </cell>
          <cell r="W70">
            <v>1121.6230714436549</v>
          </cell>
          <cell r="X70">
            <v>0</v>
          </cell>
          <cell r="Y70">
            <v>0</v>
          </cell>
          <cell r="Z70">
            <v>20.88</v>
          </cell>
          <cell r="AB70">
            <v>150.95770782911379</v>
          </cell>
          <cell r="AC70">
            <v>0</v>
          </cell>
          <cell r="AD70">
            <v>0</v>
          </cell>
          <cell r="AE70">
            <v>10.44</v>
          </cell>
          <cell r="AH70">
            <v>89</v>
          </cell>
          <cell r="AI70">
            <v>84</v>
          </cell>
          <cell r="AJ70">
            <v>1</v>
          </cell>
          <cell r="AK70">
            <v>6.0383083131645518E-2</v>
          </cell>
          <cell r="AL70">
            <v>0</v>
          </cell>
          <cell r="AM70">
            <v>1.5017963801425838E-3</v>
          </cell>
          <cell r="AN70">
            <v>6.0297061783717409E-2</v>
          </cell>
          <cell r="AO70">
            <v>0.12067276606820942</v>
          </cell>
          <cell r="AP70">
            <v>0.18269588068107601</v>
          </cell>
          <cell r="AQ70">
            <v>0.24643048578617621</v>
          </cell>
          <cell r="AR70">
            <v>0.31195105249517019</v>
          </cell>
          <cell r="AS70">
            <v>0.3793261473821517</v>
          </cell>
          <cell r="AT70">
            <v>0.44864922857746192</v>
          </cell>
          <cell r="AU70">
            <v>0.52001994612799141</v>
          </cell>
          <cell r="AW70">
            <v>0</v>
          </cell>
          <cell r="AY70">
            <v>0</v>
          </cell>
          <cell r="AZ70">
            <v>0</v>
          </cell>
          <cell r="BA70">
            <v>1</v>
          </cell>
          <cell r="BC70">
            <v>0.79235256391770215</v>
          </cell>
          <cell r="BD70">
            <v>1.8025815078672147</v>
          </cell>
          <cell r="BE70">
            <v>2.6764855417840154</v>
          </cell>
          <cell r="BF70">
            <v>3.8706283754064001</v>
          </cell>
          <cell r="BG70">
            <v>5.4152047022701986</v>
          </cell>
          <cell r="BH70">
            <v>7.3430578515400748</v>
          </cell>
          <cell r="BI70">
            <v>9.6903237125836981</v>
          </cell>
          <cell r="BJ70">
            <v>12.496580478112698</v>
          </cell>
          <cell r="BL70">
            <v>18.357644628850185</v>
          </cell>
        </row>
        <row r="71">
          <cell r="A71">
            <v>10001687</v>
          </cell>
          <cell r="B71">
            <v>0</v>
          </cell>
          <cell r="C71" t="str">
            <v>CP18</v>
          </cell>
          <cell r="D71" t="str">
            <v>USD</v>
          </cell>
          <cell r="E71">
            <v>50</v>
          </cell>
          <cell r="F71" t="str">
            <v>F</v>
          </cell>
          <cell r="G71">
            <v>35318</v>
          </cell>
          <cell r="H71">
            <v>1</v>
          </cell>
          <cell r="I71">
            <v>20000</v>
          </cell>
          <cell r="J71">
            <v>922</v>
          </cell>
          <cell r="K71">
            <v>922</v>
          </cell>
          <cell r="L71">
            <v>922</v>
          </cell>
          <cell r="M71">
            <v>18</v>
          </cell>
          <cell r="N71">
            <v>18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W71">
            <v>7052.4017299213492</v>
          </cell>
          <cell r="X71">
            <v>0</v>
          </cell>
          <cell r="Y71">
            <v>0</v>
          </cell>
          <cell r="Z71">
            <v>0</v>
          </cell>
          <cell r="AB71">
            <v>972.24675174644915</v>
          </cell>
          <cell r="AC71">
            <v>0</v>
          </cell>
          <cell r="AD71">
            <v>0</v>
          </cell>
          <cell r="AE71">
            <v>0</v>
          </cell>
          <cell r="AH71">
            <v>85</v>
          </cell>
          <cell r="AI71">
            <v>84</v>
          </cell>
          <cell r="AJ71">
            <v>1</v>
          </cell>
          <cell r="AK71">
            <v>4.861233758732246E-2</v>
          </cell>
          <cell r="AL71">
            <v>0</v>
          </cell>
          <cell r="AM71">
            <v>2.1925967146710912E-3</v>
          </cell>
          <cell r="AN71">
            <v>4.8410461607923172E-2</v>
          </cell>
          <cell r="AO71">
            <v>9.5811185897689111E-2</v>
          </cell>
          <cell r="AP71">
            <v>0.14443641232209681</v>
          </cell>
          <cell r="AQ71">
            <v>0.19435223654658895</v>
          </cell>
          <cell r="AR71">
            <v>0.2456294010389069</v>
          </cell>
          <cell r="AS71">
            <v>0.29835394324375486</v>
          </cell>
          <cell r="AT71">
            <v>0.35262008649606746</v>
          </cell>
          <cell r="AU71">
            <v>0.40851596265371154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0.61866456795730618</v>
          </cell>
          <cell r="BD71">
            <v>1.2250391087527897</v>
          </cell>
          <cell r="BE71">
            <v>1.8378988434847328</v>
          </cell>
          <cell r="BF71">
            <v>2.688773799607918</v>
          </cell>
          <cell r="BG71">
            <v>3.7999315634271627</v>
          </cell>
          <cell r="BH71">
            <v>5.1959274938242892</v>
          </cell>
          <cell r="BI71">
            <v>6.903807595549905</v>
          </cell>
          <cell r="BJ71">
            <v>8.9531365520394015</v>
          </cell>
          <cell r="BL71">
            <v>103.9185498764858</v>
          </cell>
        </row>
        <row r="72">
          <cell r="A72">
            <v>10001937</v>
          </cell>
          <cell r="B72">
            <v>0</v>
          </cell>
          <cell r="C72" t="str">
            <v>CP12</v>
          </cell>
          <cell r="D72" t="str">
            <v>USD</v>
          </cell>
          <cell r="E72">
            <v>27</v>
          </cell>
          <cell r="F72" t="str">
            <v>F</v>
          </cell>
          <cell r="G72">
            <v>35411</v>
          </cell>
          <cell r="H72">
            <v>2</v>
          </cell>
          <cell r="I72">
            <v>12500</v>
          </cell>
          <cell r="J72">
            <v>654.94000000000005</v>
          </cell>
          <cell r="K72">
            <v>482.30000000000007</v>
          </cell>
          <cell r="L72">
            <v>964.60000000000014</v>
          </cell>
          <cell r="M72">
            <v>12</v>
          </cell>
          <cell r="N72">
            <v>12</v>
          </cell>
          <cell r="O72">
            <v>12500</v>
          </cell>
          <cell r="P72">
            <v>32.5</v>
          </cell>
          <cell r="Q72">
            <v>0</v>
          </cell>
          <cell r="R72">
            <v>0</v>
          </cell>
          <cell r="T72">
            <v>16.34</v>
          </cell>
          <cell r="U72">
            <v>25.06</v>
          </cell>
          <cell r="W72">
            <v>6441.8608260580422</v>
          </cell>
          <cell r="X72">
            <v>32.5</v>
          </cell>
          <cell r="Y72">
            <v>0</v>
          </cell>
          <cell r="Z72">
            <v>50.12</v>
          </cell>
          <cell r="AB72">
            <v>947.31555229620938</v>
          </cell>
          <cell r="AC72">
            <v>32.5</v>
          </cell>
          <cell r="AD72">
            <v>0</v>
          </cell>
          <cell r="AE72">
            <v>25.06</v>
          </cell>
          <cell r="AH72">
            <v>82</v>
          </cell>
          <cell r="AI72">
            <v>72</v>
          </cell>
          <cell r="AJ72">
            <v>2</v>
          </cell>
          <cell r="AK72">
            <v>7.5785244183696754E-2</v>
          </cell>
          <cell r="AL72">
            <v>0</v>
          </cell>
          <cell r="AM72">
            <v>1.7092579341421943E-2</v>
          </cell>
          <cell r="AN72">
            <v>9.4448742504119498E-2</v>
          </cell>
          <cell r="AO72">
            <v>0.17399039241629455</v>
          </cell>
          <cell r="AP72">
            <v>0.25577931696006695</v>
          </cell>
          <cell r="AQ72">
            <v>0.33988706374259453</v>
          </cell>
          <cell r="AR72">
            <v>0.42638754313948274</v>
          </cell>
          <cell r="AS72">
            <v>0.51534886608464336</v>
          </cell>
          <cell r="AT72">
            <v>0.60685278387411667</v>
          </cell>
          <cell r="AU72">
            <v>0.70097879449049016</v>
          </cell>
          <cell r="AW72">
            <v>0</v>
          </cell>
          <cell r="AY72">
            <v>1</v>
          </cell>
          <cell r="AZ72">
            <v>0</v>
          </cell>
          <cell r="BA72">
            <v>1</v>
          </cell>
          <cell r="BC72">
            <v>1.0442355173646498</v>
          </cell>
          <cell r="BD72">
            <v>2.6783558753073406</v>
          </cell>
          <cell r="BE72">
            <v>3.9593094407804674</v>
          </cell>
          <cell r="BF72">
            <v>5.6891061926630142</v>
          </cell>
          <cell r="BG72">
            <v>7.9103825737371638</v>
          </cell>
          <cell r="BH72">
            <v>10.669377647994152</v>
          </cell>
          <cell r="BI72">
            <v>14.016491083433079</v>
          </cell>
          <cell r="BJ72">
            <v>18.006423742678713</v>
          </cell>
          <cell r="BL72">
            <v>98.879782171714538</v>
          </cell>
        </row>
        <row r="73">
          <cell r="A73">
            <v>10001937</v>
          </cell>
          <cell r="B73">
            <v>1</v>
          </cell>
          <cell r="C73" t="str">
            <v>E7</v>
          </cell>
          <cell r="D73" t="str">
            <v>USD</v>
          </cell>
          <cell r="E73">
            <v>27</v>
          </cell>
          <cell r="F73" t="str">
            <v>F</v>
          </cell>
          <cell r="G73">
            <v>35411</v>
          </cell>
          <cell r="H73">
            <v>2</v>
          </cell>
          <cell r="I73">
            <v>2500</v>
          </cell>
          <cell r="J73">
            <v>172.64</v>
          </cell>
          <cell r="K73">
            <v>172.64</v>
          </cell>
          <cell r="L73">
            <v>345.28</v>
          </cell>
          <cell r="M73">
            <v>7</v>
          </cell>
          <cell r="N73">
            <v>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3.81</v>
          </cell>
          <cell r="U73">
            <v>7.62</v>
          </cell>
          <cell r="W73">
            <v>2500</v>
          </cell>
          <cell r="X73">
            <v>0</v>
          </cell>
          <cell r="Y73">
            <v>0</v>
          </cell>
          <cell r="Z73">
            <v>15.24</v>
          </cell>
          <cell r="AB73">
            <v>345.49226483054031</v>
          </cell>
          <cell r="AC73">
            <v>0</v>
          </cell>
          <cell r="AD73">
            <v>0</v>
          </cell>
          <cell r="AE73">
            <v>7.62</v>
          </cell>
          <cell r="AH73">
            <v>82</v>
          </cell>
          <cell r="AI73">
            <v>72</v>
          </cell>
          <cell r="AJ73">
            <v>2</v>
          </cell>
          <cell r="AK73">
            <v>0.13819690593221612</v>
          </cell>
          <cell r="AL73">
            <v>0</v>
          </cell>
          <cell r="AM73">
            <v>7.7028965856191123E-2</v>
          </cell>
          <cell r="AN73">
            <v>0.22018341055679036</v>
          </cell>
          <cell r="AO73">
            <v>0.36743163883645114</v>
          </cell>
          <cell r="AP73">
            <v>0.51889849889449979</v>
          </cell>
          <cell r="AQ73">
            <v>0.67472058863675954</v>
          </cell>
          <cell r="AR73">
            <v>0.8350391038001439</v>
          </cell>
          <cell r="AS73">
            <v>1</v>
          </cell>
          <cell r="AT73" t="str">
            <v/>
          </cell>
          <cell r="AU73" t="str">
            <v/>
          </cell>
          <cell r="AW73">
            <v>0</v>
          </cell>
          <cell r="AY73">
            <v>0</v>
          </cell>
          <cell r="AZ73">
            <v>0</v>
          </cell>
          <cell r="BA73">
            <v>1</v>
          </cell>
          <cell r="BC73">
            <v>2.0560042175012203</v>
          </cell>
          <cell r="BD73">
            <v>6.8677971762494439</v>
          </cell>
          <cell r="BE73">
            <v>10.646307378050391</v>
          </cell>
          <cell r="BF73">
            <v>15.775941362629942</v>
          </cell>
          <cell r="BG73">
            <v>21.343695352897758</v>
          </cell>
          <cell r="BH73" t="str">
            <v/>
          </cell>
          <cell r="BI73" t="str">
            <v/>
          </cell>
          <cell r="BJ73" t="str">
            <v/>
          </cell>
          <cell r="BL73">
            <v>53.359238382244392</v>
          </cell>
        </row>
        <row r="74">
          <cell r="A74">
            <v>10001951</v>
          </cell>
          <cell r="B74">
            <v>0</v>
          </cell>
          <cell r="C74" t="str">
            <v>CP18</v>
          </cell>
          <cell r="D74" t="str">
            <v>USD</v>
          </cell>
          <cell r="E74">
            <v>34</v>
          </cell>
          <cell r="F74" t="str">
            <v>M</v>
          </cell>
          <cell r="G74">
            <v>35419</v>
          </cell>
          <cell r="H74">
            <v>4</v>
          </cell>
          <cell r="I74">
            <v>20000</v>
          </cell>
          <cell r="J74">
            <v>380.76</v>
          </cell>
          <cell r="K74">
            <v>244.85999999999999</v>
          </cell>
          <cell r="L74">
            <v>979.43999999999994</v>
          </cell>
          <cell r="M74">
            <v>18</v>
          </cell>
          <cell r="N74">
            <v>18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T74">
            <v>0</v>
          </cell>
          <cell r="U74">
            <v>0</v>
          </cell>
          <cell r="W74">
            <v>6016.6419417002835</v>
          </cell>
          <cell r="X74">
            <v>0</v>
          </cell>
          <cell r="Y74">
            <v>0</v>
          </cell>
          <cell r="Z74">
            <v>0</v>
          </cell>
          <cell r="AB74">
            <v>934.49090476352285</v>
          </cell>
          <cell r="AC74">
            <v>0</v>
          </cell>
          <cell r="AD74">
            <v>0</v>
          </cell>
          <cell r="AE74">
            <v>0</v>
          </cell>
          <cell r="AH74">
            <v>82</v>
          </cell>
          <cell r="AI74">
            <v>72</v>
          </cell>
          <cell r="AJ74">
            <v>4</v>
          </cell>
          <cell r="AK74">
            <v>4.6724545238176145E-2</v>
          </cell>
          <cell r="AL74">
            <v>0</v>
          </cell>
          <cell r="AM74">
            <v>7.5896006428799456E-4</v>
          </cell>
          <cell r="AN74">
            <v>4.7486460219917537E-2</v>
          </cell>
          <cell r="AO74">
            <v>9.547891658548624E-2</v>
          </cell>
          <cell r="AP74">
            <v>0.14477138455345029</v>
          </cell>
          <cell r="AQ74">
            <v>0.1954022225175911</v>
          </cell>
          <cell r="AR74">
            <v>0.24740854890260749</v>
          </cell>
          <cell r="AS74">
            <v>0.30083209708501418</v>
          </cell>
          <cell r="AT74">
            <v>0.35572362394413376</v>
          </cell>
          <cell r="AU74">
            <v>0.41213824685491557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C74">
            <v>0.59650839812150458</v>
          </cell>
          <cell r="BD74">
            <v>1.200462961095812</v>
          </cell>
          <cell r="BE74">
            <v>1.8171069576563408</v>
          </cell>
          <cell r="BF74">
            <v>2.6738133884652591</v>
          </cell>
          <cell r="BG74">
            <v>3.7929661691767977</v>
          </cell>
          <cell r="BH74">
            <v>5.1988941167626592</v>
          </cell>
          <cell r="BI74">
            <v>6.9181227025118259</v>
          </cell>
          <cell r="BJ74">
            <v>8.9795408595089423</v>
          </cell>
          <cell r="BL74">
            <v>75.859323383535951</v>
          </cell>
        </row>
        <row r="75">
          <cell r="A75">
            <v>10001951</v>
          </cell>
          <cell r="B75">
            <v>2</v>
          </cell>
          <cell r="C75" t="str">
            <v>E12</v>
          </cell>
          <cell r="D75" t="str">
            <v>USD</v>
          </cell>
          <cell r="E75">
            <v>34</v>
          </cell>
          <cell r="F75" t="str">
            <v>M</v>
          </cell>
          <cell r="G75">
            <v>35419</v>
          </cell>
          <cell r="H75">
            <v>4</v>
          </cell>
          <cell r="I75">
            <v>3000</v>
          </cell>
          <cell r="J75">
            <v>59.31</v>
          </cell>
          <cell r="K75">
            <v>59.31</v>
          </cell>
          <cell r="L75">
            <v>237.24</v>
          </cell>
          <cell r="M75">
            <v>12</v>
          </cell>
          <cell r="N75">
            <v>12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1544.3961479746788</v>
          </cell>
          <cell r="X75">
            <v>0</v>
          </cell>
          <cell r="Y75">
            <v>0</v>
          </cell>
          <cell r="Z75">
            <v>0</v>
          </cell>
          <cell r="AB75">
            <v>228.48189806683834</v>
          </cell>
          <cell r="AC75">
            <v>0</v>
          </cell>
          <cell r="AD75">
            <v>0</v>
          </cell>
          <cell r="AE75">
            <v>0</v>
          </cell>
          <cell r="AH75">
            <v>82</v>
          </cell>
          <cell r="AI75">
            <v>72</v>
          </cell>
          <cell r="AJ75">
            <v>4</v>
          </cell>
          <cell r="AK75">
            <v>7.6160632688946114E-2</v>
          </cell>
          <cell r="AL75">
            <v>0</v>
          </cell>
          <cell r="AM75">
            <v>1.7225411849929539E-2</v>
          </cell>
          <cell r="AN75">
            <v>9.4504832795912153E-2</v>
          </cell>
          <cell r="AO75">
            <v>0.17394491385869704</v>
          </cell>
          <cell r="AP75">
            <v>0.25561571538824313</v>
          </cell>
          <cell r="AQ75">
            <v>0.3395938385102647</v>
          </cell>
          <cell r="AR75">
            <v>0.4259586229141693</v>
          </cell>
          <cell r="AS75">
            <v>0.51479871599155957</v>
          </cell>
          <cell r="AT75">
            <v>0.60621568159100636</v>
          </cell>
          <cell r="AU75">
            <v>0.70031983129073139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C75">
            <v>1.0491284377985968</v>
          </cell>
          <cell r="BD75">
            <v>2.6837850837727961</v>
          </cell>
          <cell r="BE75">
            <v>3.9637971015789191</v>
          </cell>
          <cell r="BF75">
            <v>5.6921041012043219</v>
          </cell>
          <cell r="BG75">
            <v>7.9112734453518154</v>
          </cell>
          <cell r="BH75">
            <v>10.667742979911825</v>
          </cell>
          <cell r="BI75">
            <v>14.012276403726139</v>
          </cell>
          <cell r="BJ75">
            <v>18.000348453097697</v>
          </cell>
          <cell r="BL75">
            <v>23.733820336055448</v>
          </cell>
        </row>
        <row r="76">
          <cell r="A76">
            <v>10001951</v>
          </cell>
          <cell r="B76">
            <v>3</v>
          </cell>
          <cell r="C76" t="str">
            <v>E15</v>
          </cell>
          <cell r="D76" t="str">
            <v>USD</v>
          </cell>
          <cell r="E76">
            <v>34</v>
          </cell>
          <cell r="F76" t="str">
            <v>M</v>
          </cell>
          <cell r="G76">
            <v>35419</v>
          </cell>
          <cell r="H76">
            <v>4</v>
          </cell>
          <cell r="I76">
            <v>5000</v>
          </cell>
          <cell r="J76">
            <v>76.59</v>
          </cell>
          <cell r="K76">
            <v>76.59</v>
          </cell>
          <cell r="L76">
            <v>306.36</v>
          </cell>
          <cell r="M76">
            <v>15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W76">
            <v>1905.6415985714093</v>
          </cell>
          <cell r="X76">
            <v>0</v>
          </cell>
          <cell r="Y76">
            <v>0</v>
          </cell>
          <cell r="Z76">
            <v>0</v>
          </cell>
          <cell r="AB76">
            <v>294.65379601819416</v>
          </cell>
          <cell r="AC76">
            <v>0</v>
          </cell>
          <cell r="AD76">
            <v>0</v>
          </cell>
          <cell r="AE76">
            <v>0</v>
          </cell>
          <cell r="AH76">
            <v>82</v>
          </cell>
          <cell r="AI76">
            <v>72</v>
          </cell>
          <cell r="AJ76">
            <v>4</v>
          </cell>
          <cell r="AK76">
            <v>5.8930759203638827E-2</v>
          </cell>
          <cell r="AL76">
            <v>0</v>
          </cell>
          <cell r="AM76">
            <v>6.4913631309748698E-4</v>
          </cell>
          <cell r="AN76">
            <v>5.9823067072035885E-2</v>
          </cell>
          <cell r="AO76">
            <v>0.12062405249343189</v>
          </cell>
          <cell r="AP76">
            <v>0.18310092752076146</v>
          </cell>
          <cell r="AQ76">
            <v>0.24730711479020073</v>
          </cell>
          <cell r="AR76">
            <v>0.3132962194060136</v>
          </cell>
          <cell r="AS76">
            <v>0.38112831971428185</v>
          </cell>
          <cell r="AT76">
            <v>0.45087421222165164</v>
          </cell>
          <cell r="AU76">
            <v>0.52261079214886275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C76">
            <v>0.77448071306928656</v>
          </cell>
          <cell r="BD76">
            <v>1.7829980117857067</v>
          </cell>
          <cell r="BE76">
            <v>2.6598811973735632</v>
          </cell>
          <cell r="BF76">
            <v>3.8584380912640697</v>
          </cell>
          <cell r="BG76">
            <v>5.4089172472297093</v>
          </cell>
          <cell r="BH76">
            <v>7.34425213038298</v>
          </cell>
          <cell r="BI76">
            <v>9.7003930196169605</v>
          </cell>
          <cell r="BJ76">
            <v>12.516554912372269</v>
          </cell>
          <cell r="BL76">
            <v>27.044586236148547</v>
          </cell>
        </row>
        <row r="77">
          <cell r="A77">
            <v>10001958</v>
          </cell>
          <cell r="B77">
            <v>0</v>
          </cell>
          <cell r="C77" t="str">
            <v>CP15</v>
          </cell>
          <cell r="D77" t="str">
            <v>USD</v>
          </cell>
          <cell r="E77">
            <v>33</v>
          </cell>
          <cell r="F77" t="str">
            <v>M</v>
          </cell>
          <cell r="G77">
            <v>35423</v>
          </cell>
          <cell r="H77">
            <v>1</v>
          </cell>
          <cell r="I77">
            <v>10000</v>
          </cell>
          <cell r="J77">
            <v>1253.4000000000001</v>
          </cell>
          <cell r="K77">
            <v>578.00000000000011</v>
          </cell>
          <cell r="L77">
            <v>578.00000000000011</v>
          </cell>
          <cell r="M77">
            <v>15</v>
          </cell>
          <cell r="N77">
            <v>15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T77">
            <v>38.409999999999997</v>
          </cell>
          <cell r="U77">
            <v>19.069999999999997</v>
          </cell>
          <cell r="W77">
            <v>3812.1164709314157</v>
          </cell>
          <cell r="X77">
            <v>0</v>
          </cell>
          <cell r="Y77">
            <v>0</v>
          </cell>
          <cell r="Z77">
            <v>38.139999999999993</v>
          </cell>
          <cell r="AB77">
            <v>588.56993957073314</v>
          </cell>
          <cell r="AC77">
            <v>0</v>
          </cell>
          <cell r="AD77">
            <v>0</v>
          </cell>
          <cell r="AE77">
            <v>19.069999999999997</v>
          </cell>
          <cell r="AH77">
            <v>82</v>
          </cell>
          <cell r="AI77">
            <v>72</v>
          </cell>
          <cell r="AJ77">
            <v>1</v>
          </cell>
          <cell r="AK77">
            <v>5.885699395707332E-2</v>
          </cell>
          <cell r="AL77">
            <v>0</v>
          </cell>
          <cell r="AM77">
            <v>6.1740925933795321E-4</v>
          </cell>
          <cell r="AN77">
            <v>5.9791767665783979E-2</v>
          </cell>
          <cell r="AO77">
            <v>0.12060628656262806</v>
          </cell>
          <cell r="AP77">
            <v>0.18310189314479886</v>
          </cell>
          <cell r="AQ77">
            <v>0.24733023800509435</v>
          </cell>
          <cell r="AR77">
            <v>0.31334773766567731</v>
          </cell>
          <cell r="AS77">
            <v>0.38121164709314159</v>
          </cell>
          <cell r="AT77">
            <v>0.45098595440835471</v>
          </cell>
          <cell r="AU77">
            <v>0.52274515346578176</v>
          </cell>
          <cell r="AW77">
            <v>0</v>
          </cell>
          <cell r="AY77">
            <v>0</v>
          </cell>
          <cell r="AZ77">
            <v>0</v>
          </cell>
          <cell r="BA77">
            <v>1</v>
          </cell>
          <cell r="BC77">
            <v>0.77361086976734916</v>
          </cell>
          <cell r="BD77">
            <v>1.7817611666933211</v>
          </cell>
          <cell r="BE77">
            <v>2.6586964107176572</v>
          </cell>
          <cell r="BF77">
            <v>3.8573920328795106</v>
          </cell>
          <cell r="BG77">
            <v>5.4081603907926032</v>
          </cell>
          <cell r="BH77">
            <v>7.3439451728138216</v>
          </cell>
          <cell r="BI77">
            <v>9.7006239708924049</v>
          </cell>
          <cell r="BJ77">
            <v>12.517363447041163</v>
          </cell>
          <cell r="BL77">
            <v>54.081603907926031</v>
          </cell>
        </row>
        <row r="78">
          <cell r="A78">
            <v>10001958</v>
          </cell>
          <cell r="B78">
            <v>1</v>
          </cell>
          <cell r="C78" t="str">
            <v>E9</v>
          </cell>
          <cell r="D78" t="str">
            <v>USD</v>
          </cell>
          <cell r="E78">
            <v>33</v>
          </cell>
          <cell r="F78" t="str">
            <v>M</v>
          </cell>
          <cell r="G78">
            <v>35423</v>
          </cell>
          <cell r="H78">
            <v>1</v>
          </cell>
          <cell r="I78">
            <v>3000</v>
          </cell>
          <cell r="J78">
            <v>302.39999999999998</v>
          </cell>
          <cell r="K78">
            <v>302.39999999999998</v>
          </cell>
          <cell r="L78">
            <v>302.39999999999998</v>
          </cell>
          <cell r="M78">
            <v>9</v>
          </cell>
          <cell r="N78">
            <v>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T78">
            <v>8.15</v>
          </cell>
          <cell r="U78">
            <v>8.15</v>
          </cell>
          <cell r="W78">
            <v>2220.5840474415263</v>
          </cell>
          <cell r="X78">
            <v>0</v>
          </cell>
          <cell r="Y78">
            <v>0</v>
          </cell>
          <cell r="Z78">
            <v>16.3</v>
          </cell>
          <cell r="AB78">
            <v>315.1915036682945</v>
          </cell>
          <cell r="AC78">
            <v>0</v>
          </cell>
          <cell r="AD78">
            <v>0</v>
          </cell>
          <cell r="AE78">
            <v>8.15</v>
          </cell>
          <cell r="AH78">
            <v>82</v>
          </cell>
          <cell r="AI78">
            <v>72</v>
          </cell>
          <cell r="AJ78">
            <v>1</v>
          </cell>
          <cell r="AK78">
            <v>0.10506383455609816</v>
          </cell>
          <cell r="AL78">
            <v>0</v>
          </cell>
          <cell r="AM78">
            <v>4.5059936497293118E-2</v>
          </cell>
          <cell r="AN78">
            <v>0.15287012389050603</v>
          </cell>
          <cell r="AO78">
            <v>0.2637554583860483</v>
          </cell>
          <cell r="AP78">
            <v>0.37781263152613115</v>
          </cell>
          <cell r="AQ78">
            <v>0.49515456107966543</v>
          </cell>
          <cell r="AR78">
            <v>0.61590450029564958</v>
          </cell>
          <cell r="AS78">
            <v>0.74019468248050879</v>
          </cell>
          <cell r="AT78">
            <v>0.86817217517626211</v>
          </cell>
          <cell r="AU78">
            <v>1</v>
          </cell>
          <cell r="AW78">
            <v>0</v>
          </cell>
          <cell r="AY78">
            <v>0</v>
          </cell>
          <cell r="AZ78">
            <v>0</v>
          </cell>
          <cell r="BA78">
            <v>1</v>
          </cell>
          <cell r="BC78">
            <v>1.5166293517471869</v>
          </cell>
          <cell r="BD78">
            <v>4.2223721817877662</v>
          </cell>
          <cell r="BE78">
            <v>6.1928406107076945</v>
          </cell>
          <cell r="BF78">
            <v>8.8287602608002214</v>
          </cell>
          <cell r="BG78">
            <v>12.193973620508142</v>
          </cell>
          <cell r="BH78">
            <v>16.35818565943503</v>
          </cell>
          <cell r="BI78">
            <v>21.397632839473168</v>
          </cell>
          <cell r="BJ78" t="str">
            <v/>
          </cell>
          <cell r="BL78">
            <v>36.581920861524431</v>
          </cell>
        </row>
        <row r="79">
          <cell r="A79">
            <v>10001958</v>
          </cell>
          <cell r="B79">
            <v>2</v>
          </cell>
          <cell r="C79" t="str">
            <v>E12</v>
          </cell>
          <cell r="D79" t="str">
            <v>USD</v>
          </cell>
          <cell r="E79">
            <v>33</v>
          </cell>
          <cell r="F79" t="str">
            <v>M</v>
          </cell>
          <cell r="G79">
            <v>35423</v>
          </cell>
          <cell r="H79">
            <v>1</v>
          </cell>
          <cell r="I79">
            <v>5000</v>
          </cell>
          <cell r="J79">
            <v>373</v>
          </cell>
          <cell r="K79">
            <v>373</v>
          </cell>
          <cell r="L79">
            <v>373</v>
          </cell>
          <cell r="M79">
            <v>12</v>
          </cell>
          <cell r="N79">
            <v>12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T79">
            <v>11.19</v>
          </cell>
          <cell r="U79">
            <v>11.19</v>
          </cell>
          <cell r="W79">
            <v>2574.5490196764886</v>
          </cell>
          <cell r="X79">
            <v>0</v>
          </cell>
          <cell r="Y79">
            <v>0</v>
          </cell>
          <cell r="Z79">
            <v>22.38</v>
          </cell>
          <cell r="AB79">
            <v>380.46847576042876</v>
          </cell>
          <cell r="AC79">
            <v>0</v>
          </cell>
          <cell r="AD79">
            <v>0</v>
          </cell>
          <cell r="AE79">
            <v>11.19</v>
          </cell>
          <cell r="AH79">
            <v>82</v>
          </cell>
          <cell r="AI79">
            <v>72</v>
          </cell>
          <cell r="AJ79">
            <v>1</v>
          </cell>
          <cell r="AK79">
            <v>7.609369515208575E-2</v>
          </cell>
          <cell r="AL79">
            <v>0</v>
          </cell>
          <cell r="AM79">
            <v>1.7203507087708458E-2</v>
          </cell>
          <cell r="AN79">
            <v>9.4493671621924569E-2</v>
          </cell>
          <cell r="AO79">
            <v>0.17395610455722399</v>
          </cell>
          <cell r="AP79">
            <v>0.25565189886604112</v>
          </cell>
          <cell r="AQ79">
            <v>0.33965500603530474</v>
          </cell>
          <cell r="AR79">
            <v>0.42604617063887962</v>
          </cell>
          <cell r="AS79">
            <v>0.51490980393529773</v>
          </cell>
          <cell r="AT79">
            <v>0.60633999423296514</v>
          </cell>
          <cell r="AU79">
            <v>0.70044344718600671</v>
          </cell>
          <cell r="AW79">
            <v>0</v>
          </cell>
          <cell r="AY79">
            <v>0</v>
          </cell>
          <cell r="AZ79">
            <v>0</v>
          </cell>
          <cell r="BA79">
            <v>1</v>
          </cell>
          <cell r="BC79">
            <v>1.048267530987552</v>
          </cell>
          <cell r="BD79">
            <v>2.682797991107047</v>
          </cell>
          <cell r="BE79">
            <v>3.9630112933183255</v>
          </cell>
          <cell r="BF79">
            <v>5.6916136232593697</v>
          </cell>
          <cell r="BG79">
            <v>7.9112043158585807</v>
          </cell>
          <cell r="BH79">
            <v>10.668179972467948</v>
          </cell>
          <cell r="BI79">
            <v>14.013169066075736</v>
          </cell>
          <cell r="BJ79">
            <v>18.001516590171533</v>
          </cell>
          <cell r="BL79">
            <v>39.556021579292903</v>
          </cell>
        </row>
        <row r="80">
          <cell r="A80">
            <v>10002042</v>
          </cell>
          <cell r="B80">
            <v>0</v>
          </cell>
          <cell r="C80" t="str">
            <v>CP8</v>
          </cell>
          <cell r="D80" t="str">
            <v>USD</v>
          </cell>
          <cell r="E80">
            <v>40</v>
          </cell>
          <cell r="F80" t="str">
            <v>F</v>
          </cell>
          <cell r="G80">
            <v>35490</v>
          </cell>
          <cell r="H80">
            <v>1</v>
          </cell>
          <cell r="I80">
            <v>5000</v>
          </cell>
          <cell r="J80">
            <v>577</v>
          </cell>
          <cell r="K80">
            <v>577</v>
          </cell>
          <cell r="L80">
            <v>577</v>
          </cell>
          <cell r="M80">
            <v>8</v>
          </cell>
          <cell r="N80">
            <v>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24.23</v>
          </cell>
          <cell r="U80">
            <v>24.23</v>
          </cell>
          <cell r="W80">
            <v>4265.9091614771987</v>
          </cell>
          <cell r="X80">
            <v>0</v>
          </cell>
          <cell r="Y80">
            <v>0</v>
          </cell>
          <cell r="Z80">
            <v>48.46</v>
          </cell>
          <cell r="AB80">
            <v>600.27088718460072</v>
          </cell>
          <cell r="AC80">
            <v>0</v>
          </cell>
          <cell r="AD80">
            <v>0</v>
          </cell>
          <cell r="AE80">
            <v>24.23</v>
          </cell>
          <cell r="AH80">
            <v>79</v>
          </cell>
          <cell r="AI80">
            <v>72</v>
          </cell>
          <cell r="AJ80">
            <v>1</v>
          </cell>
          <cell r="AK80">
            <v>0.12005417743692014</v>
          </cell>
          <cell r="AL80">
            <v>0</v>
          </cell>
          <cell r="AM80">
            <v>5.9222799559949357E-2</v>
          </cell>
          <cell r="AN80">
            <v>0.1820955261765228</v>
          </cell>
          <cell r="AO80">
            <v>0.30852383288444329</v>
          </cell>
          <cell r="AP80">
            <v>0.438676665835459</v>
          </cell>
          <cell r="AQ80">
            <v>0.57271481095180776</v>
          </cell>
          <cell r="AR80">
            <v>0.71081982404952804</v>
          </cell>
          <cell r="AS80">
            <v>0.85318183229543976</v>
          </cell>
          <cell r="AT80">
            <v>1</v>
          </cell>
          <cell r="AU80" t="str">
            <v/>
          </cell>
          <cell r="AW80">
            <v>0</v>
          </cell>
          <cell r="AY80">
            <v>0</v>
          </cell>
          <cell r="AZ80">
            <v>0</v>
          </cell>
          <cell r="BA80">
            <v>1</v>
          </cell>
          <cell r="BC80">
            <v>1.7602368073697472</v>
          </cell>
          <cell r="BD80">
            <v>5.3558715346553454</v>
          </cell>
          <cell r="BE80">
            <v>8.0911313672346772</v>
          </cell>
          <cell r="BF80">
            <v>11.785738701179179</v>
          </cell>
          <cell r="BG80">
            <v>16.099436803424108</v>
          </cell>
          <cell r="BH80">
            <v>21.373272093910913</v>
          </cell>
          <cell r="BI80" t="str">
            <v/>
          </cell>
          <cell r="BJ80" t="str">
            <v/>
          </cell>
          <cell r="BL80">
            <v>80.497184017120546</v>
          </cell>
        </row>
        <row r="81">
          <cell r="A81">
            <v>10002070</v>
          </cell>
          <cell r="B81">
            <v>0</v>
          </cell>
          <cell r="C81" t="str">
            <v>CP12</v>
          </cell>
          <cell r="D81" t="str">
            <v>USD</v>
          </cell>
          <cell r="E81">
            <v>37</v>
          </cell>
          <cell r="F81" t="str">
            <v>M</v>
          </cell>
          <cell r="G81">
            <v>35515</v>
          </cell>
          <cell r="H81">
            <v>1</v>
          </cell>
          <cell r="I81">
            <v>25000</v>
          </cell>
          <cell r="J81">
            <v>1867.5</v>
          </cell>
          <cell r="K81">
            <v>1867.5</v>
          </cell>
          <cell r="L81">
            <v>1867.5</v>
          </cell>
          <cell r="M81">
            <v>12</v>
          </cell>
          <cell r="N81">
            <v>12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T81">
            <v>72.849999999999994</v>
          </cell>
          <cell r="U81">
            <v>72.849999999999994</v>
          </cell>
          <cell r="W81">
            <v>12858.447082582614</v>
          </cell>
          <cell r="X81">
            <v>0</v>
          </cell>
          <cell r="Y81">
            <v>0</v>
          </cell>
          <cell r="Z81">
            <v>145.69999999999999</v>
          </cell>
          <cell r="AB81">
            <v>1910.2465652120704</v>
          </cell>
          <cell r="AC81">
            <v>0</v>
          </cell>
          <cell r="AD81">
            <v>0</v>
          </cell>
          <cell r="AE81">
            <v>72.849999999999994</v>
          </cell>
          <cell r="AH81">
            <v>79</v>
          </cell>
          <cell r="AI81">
            <v>72</v>
          </cell>
          <cell r="AJ81">
            <v>1</v>
          </cell>
          <cell r="AK81">
            <v>7.6409862608482815E-2</v>
          </cell>
          <cell r="AL81">
            <v>0</v>
          </cell>
          <cell r="AM81">
            <v>1.7331232267429386E-2</v>
          </cell>
          <cell r="AN81">
            <v>9.4529086550196095E-2</v>
          </cell>
          <cell r="AO81">
            <v>0.17387224461098039</v>
          </cell>
          <cell r="AP81">
            <v>0.25543402733988296</v>
          </cell>
          <cell r="AQ81">
            <v>0.33930152697187971</v>
          </cell>
          <cell r="AR81">
            <v>0.42556961403238708</v>
          </cell>
          <cell r="AS81">
            <v>0.51433788330330454</v>
          </cell>
          <cell r="AT81">
            <v>0.60571968971213397</v>
          </cell>
          <cell r="AU81">
            <v>0.69983805626234175</v>
          </cell>
          <cell r="AW81">
            <v>0</v>
          </cell>
          <cell r="AY81">
            <v>0</v>
          </cell>
          <cell r="AZ81">
            <v>0</v>
          </cell>
          <cell r="BA81">
            <v>1</v>
          </cell>
          <cell r="BC81">
            <v>1.0524336785344757</v>
          </cell>
          <cell r="BD81">
            <v>2.6869783355907861</v>
          </cell>
          <cell r="BE81">
            <v>3.9659794324960744</v>
          </cell>
          <cell r="BF81">
            <v>5.6928570030919445</v>
          </cell>
          <cell r="BG81">
            <v>7.9103212351390297</v>
          </cell>
          <cell r="BH81">
            <v>10.665014069044638</v>
          </cell>
          <cell r="BI81">
            <v>14.008021962825568</v>
          </cell>
          <cell r="BJ81">
            <v>17.995283565068892</v>
          </cell>
          <cell r="BL81">
            <v>197.75803087847575</v>
          </cell>
        </row>
        <row r="82">
          <cell r="A82">
            <v>10002122</v>
          </cell>
          <cell r="B82">
            <v>0</v>
          </cell>
          <cell r="C82" t="str">
            <v>CP13</v>
          </cell>
          <cell r="D82" t="str">
            <v>USD</v>
          </cell>
          <cell r="E82">
            <v>36</v>
          </cell>
          <cell r="F82" t="str">
            <v>M</v>
          </cell>
          <cell r="G82">
            <v>35528</v>
          </cell>
          <cell r="H82">
            <v>1</v>
          </cell>
          <cell r="I82">
            <v>5000</v>
          </cell>
          <cell r="J82">
            <v>482.96</v>
          </cell>
          <cell r="K82">
            <v>409.7</v>
          </cell>
          <cell r="L82">
            <v>409.7</v>
          </cell>
          <cell r="M82">
            <v>13</v>
          </cell>
          <cell r="N82">
            <v>13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T82">
            <v>17.170000000000002</v>
          </cell>
          <cell r="U82">
            <v>14.820000000000002</v>
          </cell>
          <cell r="W82">
            <v>2314.6609512953705</v>
          </cell>
          <cell r="X82">
            <v>0</v>
          </cell>
          <cell r="Y82">
            <v>0</v>
          </cell>
          <cell r="Z82">
            <v>29.640000000000004</v>
          </cell>
          <cell r="AB82">
            <v>348.40048756372005</v>
          </cell>
          <cell r="AC82">
            <v>0</v>
          </cell>
          <cell r="AD82">
            <v>0</v>
          </cell>
          <cell r="AE82">
            <v>14.820000000000002</v>
          </cell>
          <cell r="AH82">
            <v>78</v>
          </cell>
          <cell r="AI82">
            <v>72</v>
          </cell>
          <cell r="AJ82">
            <v>1</v>
          </cell>
          <cell r="AK82">
            <v>6.968009751274401E-2</v>
          </cell>
          <cell r="AL82">
            <v>0</v>
          </cell>
          <cell r="AM82">
            <v>1.0904810747614402E-2</v>
          </cell>
          <cell r="AN82">
            <v>8.1155507644046443E-2</v>
          </cell>
          <cell r="AO82">
            <v>0.15335133950170865</v>
          </cell>
          <cell r="AP82">
            <v>0.22755294992820807</v>
          </cell>
          <cell r="AQ82">
            <v>0.30382856119911938</v>
          </cell>
          <cell r="AR82">
            <v>0.38225899140473385</v>
          </cell>
          <cell r="AS82">
            <v>0.46293219025907406</v>
          </cell>
          <cell r="AT82">
            <v>0.54594045510471356</v>
          </cell>
          <cell r="AU82">
            <v>0.63138867205504856</v>
          </cell>
          <cell r="AW82">
            <v>0</v>
          </cell>
          <cell r="AY82">
            <v>0</v>
          </cell>
          <cell r="AZ82">
            <v>0</v>
          </cell>
          <cell r="BA82">
            <v>1</v>
          </cell>
          <cell r="BC82">
            <v>0.94477442948466461</v>
          </cell>
          <cell r="BD82">
            <v>2.3367551693998028</v>
          </cell>
          <cell r="BE82">
            <v>3.4598791893491079</v>
          </cell>
          <cell r="BF82">
            <v>4.9818345879510115</v>
          </cell>
          <cell r="BG82">
            <v>6.9404520437694472</v>
          </cell>
          <cell r="BH82">
            <v>9.3770431889477397</v>
          </cell>
          <cell r="BI82">
            <v>12.336691998263428</v>
          </cell>
          <cell r="BJ82">
            <v>15.868749816700628</v>
          </cell>
          <cell r="BL82">
            <v>34.702260218847236</v>
          </cell>
        </row>
        <row r="83">
          <cell r="A83">
            <v>10002122</v>
          </cell>
          <cell r="B83">
            <v>1</v>
          </cell>
          <cell r="C83" t="str">
            <v>E7</v>
          </cell>
          <cell r="D83" t="str">
            <v>USD</v>
          </cell>
          <cell r="E83">
            <v>36</v>
          </cell>
          <cell r="F83" t="str">
            <v>M</v>
          </cell>
          <cell r="G83">
            <v>35528</v>
          </cell>
          <cell r="H83">
            <v>1</v>
          </cell>
          <cell r="I83">
            <v>500</v>
          </cell>
          <cell r="J83">
            <v>34.130000000000003</v>
          </cell>
          <cell r="K83">
            <v>34.130000000000003</v>
          </cell>
          <cell r="L83">
            <v>34.130000000000003</v>
          </cell>
          <cell r="M83">
            <v>7</v>
          </cell>
          <cell r="N83">
            <v>7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T83">
            <v>1.03</v>
          </cell>
          <cell r="U83">
            <v>1.03</v>
          </cell>
          <cell r="W83">
            <v>500</v>
          </cell>
          <cell r="X83">
            <v>0</v>
          </cell>
          <cell r="Y83">
            <v>0</v>
          </cell>
          <cell r="Z83">
            <v>2.06</v>
          </cell>
          <cell r="AB83">
            <v>69.299414662149971</v>
          </cell>
          <cell r="AC83">
            <v>0</v>
          </cell>
          <cell r="AD83">
            <v>0</v>
          </cell>
          <cell r="AE83">
            <v>1.03</v>
          </cell>
          <cell r="AH83">
            <v>78</v>
          </cell>
          <cell r="AI83">
            <v>72</v>
          </cell>
          <cell r="AJ83">
            <v>1</v>
          </cell>
          <cell r="AK83">
            <v>0.13859882932429995</v>
          </cell>
          <cell r="AL83">
            <v>0</v>
          </cell>
          <cell r="AM83">
            <v>7.7080365204432733E-2</v>
          </cell>
          <cell r="AN83">
            <v>0.21998397902920586</v>
          </cell>
          <cell r="AO83">
            <v>0.36702305319948558</v>
          </cell>
          <cell r="AP83">
            <v>0.5183563882240465</v>
          </cell>
          <cell r="AQ83">
            <v>0.67416145136119832</v>
          </cell>
          <cell r="AR83">
            <v>0.83463718040806034</v>
          </cell>
          <cell r="AS83">
            <v>1</v>
          </cell>
          <cell r="AT83" t="str">
            <v/>
          </cell>
          <cell r="AU83" t="str">
            <v/>
          </cell>
          <cell r="AW83">
            <v>0</v>
          </cell>
          <cell r="AY83">
            <v>0</v>
          </cell>
          <cell r="AZ83">
            <v>0</v>
          </cell>
          <cell r="BA83">
            <v>1</v>
          </cell>
          <cell r="BC83">
            <v>2.0623572003591173</v>
          </cell>
          <cell r="BD83">
            <v>6.8700091150824871</v>
          </cell>
          <cell r="BE83">
            <v>10.645410357296621</v>
          </cell>
          <cell r="BF83">
            <v>15.773131804603986</v>
          </cell>
          <cell r="BG83">
            <v>21.343060054611975</v>
          </cell>
          <cell r="BH83" t="str">
            <v/>
          </cell>
          <cell r="BI83" t="str">
            <v/>
          </cell>
          <cell r="BJ83" t="str">
            <v/>
          </cell>
          <cell r="BL83">
            <v>10.671530027305987</v>
          </cell>
        </row>
        <row r="84">
          <cell r="A84">
            <v>10002122</v>
          </cell>
          <cell r="B84">
            <v>2</v>
          </cell>
          <cell r="C84" t="str">
            <v>E10</v>
          </cell>
          <cell r="D84" t="str">
            <v>USD</v>
          </cell>
          <cell r="E84">
            <v>36</v>
          </cell>
          <cell r="F84" t="str">
            <v>M</v>
          </cell>
          <cell r="G84">
            <v>35528</v>
          </cell>
          <cell r="H84">
            <v>1</v>
          </cell>
          <cell r="I84">
            <v>840</v>
          </cell>
          <cell r="J84">
            <v>39.130000000000003</v>
          </cell>
          <cell r="K84">
            <v>39.130000000000003</v>
          </cell>
          <cell r="L84">
            <v>39.130000000000003</v>
          </cell>
          <cell r="M84">
            <v>10</v>
          </cell>
          <cell r="N84">
            <v>10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T84">
            <v>1.32</v>
          </cell>
          <cell r="U84">
            <v>1.32</v>
          </cell>
          <cell r="W84">
            <v>545.52651604323796</v>
          </cell>
          <cell r="X84">
            <v>0</v>
          </cell>
          <cell r="Y84">
            <v>0</v>
          </cell>
          <cell r="Z84">
            <v>2.64</v>
          </cell>
          <cell r="AB84">
            <v>78.67021212258237</v>
          </cell>
          <cell r="AC84">
            <v>0</v>
          </cell>
          <cell r="AD84">
            <v>0</v>
          </cell>
          <cell r="AE84">
            <v>1.32</v>
          </cell>
          <cell r="AH84">
            <v>78</v>
          </cell>
          <cell r="AI84">
            <v>72</v>
          </cell>
          <cell r="AJ84">
            <v>1</v>
          </cell>
          <cell r="AK84">
            <v>9.3655014431645672E-2</v>
          </cell>
          <cell r="AL84">
            <v>0</v>
          </cell>
          <cell r="AM84">
            <v>3.3959108895192935E-2</v>
          </cell>
          <cell r="AN84">
            <v>0.12944160449273678</v>
          </cell>
          <cell r="AO84">
            <v>0.227625341233053</v>
          </cell>
          <cell r="AP84">
            <v>0.32860414120550308</v>
          </cell>
          <cell r="AQ84">
            <v>0.43248316930446423</v>
          </cell>
          <cell r="AR84">
            <v>0.5393833680984953</v>
          </cell>
          <cell r="AS84">
            <v>0.64943632862290235</v>
          </cell>
          <cell r="AT84">
            <v>0.76278320232142549</v>
          </cell>
          <cell r="AU84">
            <v>0.87958099530071443</v>
          </cell>
          <cell r="AW84">
            <v>0</v>
          </cell>
          <cell r="AY84">
            <v>0</v>
          </cell>
          <cell r="AZ84">
            <v>0</v>
          </cell>
          <cell r="BA84">
            <v>1</v>
          </cell>
          <cell r="BC84">
            <v>1.3311140399250716</v>
          </cell>
          <cell r="BD84">
            <v>3.6051054818628021</v>
          </cell>
          <cell r="BE84">
            <v>5.2965540943999683</v>
          </cell>
          <cell r="BF84">
            <v>7.5657209636244618</v>
          </cell>
          <cell r="BG84">
            <v>10.468089740760183</v>
          </cell>
          <cell r="BH84">
            <v>14.064372867971551</v>
          </cell>
          <cell r="BI84">
            <v>18.42101510119771</v>
          </cell>
          <cell r="BJ84">
            <v>23.610883461849717</v>
          </cell>
          <cell r="BL84">
            <v>8.7931953822385527</v>
          </cell>
        </row>
        <row r="85">
          <cell r="A85">
            <v>10002200</v>
          </cell>
          <cell r="B85">
            <v>0</v>
          </cell>
          <cell r="C85" t="str">
            <v>CP12</v>
          </cell>
          <cell r="D85" t="str">
            <v>USD</v>
          </cell>
          <cell r="E85">
            <v>44</v>
          </cell>
          <cell r="F85" t="str">
            <v>M</v>
          </cell>
          <cell r="G85">
            <v>35584</v>
          </cell>
          <cell r="H85">
            <v>1</v>
          </cell>
          <cell r="I85">
            <v>10000</v>
          </cell>
          <cell r="J85">
            <v>1015.2</v>
          </cell>
          <cell r="K85">
            <v>747</v>
          </cell>
          <cell r="L85">
            <v>747</v>
          </cell>
          <cell r="M85">
            <v>12</v>
          </cell>
          <cell r="N85">
            <v>12</v>
          </cell>
          <cell r="O85">
            <v>10000</v>
          </cell>
          <cell r="P85">
            <v>25</v>
          </cell>
          <cell r="Q85">
            <v>20000</v>
          </cell>
          <cell r="R85">
            <v>200</v>
          </cell>
          <cell r="T85">
            <v>78.760000000000005</v>
          </cell>
          <cell r="U85">
            <v>64.290000000000006</v>
          </cell>
          <cell r="W85">
            <v>5126.8312541105952</v>
          </cell>
          <cell r="X85">
            <v>25</v>
          </cell>
          <cell r="Y85">
            <v>106.66666666666667</v>
          </cell>
          <cell r="Z85">
            <v>128.58000000000001</v>
          </cell>
          <cell r="AB85">
            <v>773.05678460348929</v>
          </cell>
          <cell r="AC85">
            <v>25</v>
          </cell>
          <cell r="AD85">
            <v>160</v>
          </cell>
          <cell r="AE85">
            <v>64.290000000000006</v>
          </cell>
          <cell r="AH85">
            <v>76</v>
          </cell>
          <cell r="AI85">
            <v>72</v>
          </cell>
          <cell r="AJ85">
            <v>1</v>
          </cell>
          <cell r="AK85">
            <v>7.7305678460348928E-2</v>
          </cell>
          <cell r="AL85">
            <v>0</v>
          </cell>
          <cell r="AM85">
            <v>1.7787304170614582E-2</v>
          </cell>
          <cell r="AN85">
            <v>9.4549114873620055E-2</v>
          </cell>
          <cell r="AO85">
            <v>0.17345808263244111</v>
          </cell>
          <cell r="AP85">
            <v>0.25461666253053239</v>
          </cell>
          <cell r="AQ85">
            <v>0.33813141347420594</v>
          </cell>
          <cell r="AR85">
            <v>0.42411176341247503</v>
          </cell>
          <cell r="AS85">
            <v>0.51268312541105954</v>
          </cell>
          <cell r="AT85">
            <v>0.60397646183352982</v>
          </cell>
          <cell r="AU85">
            <v>0.69815411412041384</v>
          </cell>
          <cell r="AW85">
            <v>4</v>
          </cell>
          <cell r="AY85">
            <v>1</v>
          </cell>
          <cell r="AZ85">
            <v>0.8</v>
          </cell>
          <cell r="BA85">
            <v>1</v>
          </cell>
          <cell r="BC85">
            <v>1.0647029453867662</v>
          </cell>
          <cell r="BD85">
            <v>2.6962689952828951</v>
          </cell>
          <cell r="BE85">
            <v>3.9709829604728499</v>
          </cell>
          <cell r="BF85">
            <v>5.6927113630538759</v>
          </cell>
          <cell r="BG85">
            <v>7.9044988808663952</v>
          </cell>
          <cell r="BH85">
            <v>10.653636236309241</v>
          </cell>
          <cell r="BI85">
            <v>13.991972501925504</v>
          </cell>
          <cell r="BJ85">
            <v>17.976849361812473</v>
          </cell>
          <cell r="BL85">
            <v>79.044988808663959</v>
          </cell>
        </row>
        <row r="86">
          <cell r="A86">
            <v>10002200</v>
          </cell>
          <cell r="B86">
            <v>1</v>
          </cell>
          <cell r="C86" t="str">
            <v>E7</v>
          </cell>
          <cell r="D86" t="str">
            <v>USD</v>
          </cell>
          <cell r="E86">
            <v>44</v>
          </cell>
          <cell r="F86" t="str">
            <v>M</v>
          </cell>
          <cell r="G86">
            <v>35584</v>
          </cell>
          <cell r="H86">
            <v>1</v>
          </cell>
          <cell r="I86">
            <v>2000</v>
          </cell>
          <cell r="J86">
            <v>268.2</v>
          </cell>
          <cell r="K86">
            <v>268.2</v>
          </cell>
          <cell r="L86">
            <v>268.2</v>
          </cell>
          <cell r="M86">
            <v>7</v>
          </cell>
          <cell r="N86">
            <v>7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T86">
            <v>14.47</v>
          </cell>
          <cell r="U86">
            <v>14.47</v>
          </cell>
          <cell r="W86">
            <v>2000</v>
          </cell>
          <cell r="X86">
            <v>0</v>
          </cell>
          <cell r="Y86">
            <v>0</v>
          </cell>
          <cell r="Z86">
            <v>28.94</v>
          </cell>
          <cell r="AB86">
            <v>278.7760887219747</v>
          </cell>
          <cell r="AC86">
            <v>0</v>
          </cell>
          <cell r="AD86">
            <v>0</v>
          </cell>
          <cell r="AE86">
            <v>14.47</v>
          </cell>
          <cell r="AH86">
            <v>76</v>
          </cell>
          <cell r="AI86">
            <v>72</v>
          </cell>
          <cell r="AJ86">
            <v>1</v>
          </cell>
          <cell r="AK86">
            <v>0.13938804436098734</v>
          </cell>
          <cell r="AL86">
            <v>0</v>
          </cell>
          <cell r="AM86">
            <v>7.7359167292994746E-2</v>
          </cell>
          <cell r="AN86">
            <v>0.21961652773664453</v>
          </cell>
          <cell r="AO86">
            <v>0.3661584404890762</v>
          </cell>
          <cell r="AP86">
            <v>0.51721142940171771</v>
          </cell>
          <cell r="AQ86">
            <v>0.67301916939856932</v>
          </cell>
          <cell r="AR86">
            <v>0.83384796537137262</v>
          </cell>
          <cell r="AS86">
            <v>1</v>
          </cell>
          <cell r="AT86" t="str">
            <v/>
          </cell>
          <cell r="AU86" t="str">
            <v/>
          </cell>
          <cell r="AW86">
            <v>0</v>
          </cell>
          <cell r="AY86">
            <v>0</v>
          </cell>
          <cell r="AZ86">
            <v>0</v>
          </cell>
          <cell r="BA86">
            <v>1</v>
          </cell>
          <cell r="BC86">
            <v>2.0757411486405228</v>
          </cell>
          <cell r="BD86">
            <v>6.8724095829985146</v>
          </cell>
          <cell r="BE86">
            <v>10.641212597497491</v>
          </cell>
          <cell r="BF86">
            <v>15.765882216568571</v>
          </cell>
          <cell r="BG86">
            <v>21.341721659783833</v>
          </cell>
          <cell r="BH86" t="str">
            <v/>
          </cell>
          <cell r="BI86" t="str">
            <v/>
          </cell>
          <cell r="BJ86" t="str">
            <v/>
          </cell>
          <cell r="BL86">
            <v>42.683443319567665</v>
          </cell>
        </row>
        <row r="87">
          <cell r="A87">
            <v>10002340</v>
          </cell>
          <cell r="B87">
            <v>0</v>
          </cell>
          <cell r="C87" t="str">
            <v>CP15</v>
          </cell>
          <cell r="D87" t="str">
            <v>USD</v>
          </cell>
          <cell r="E87">
            <v>51</v>
          </cell>
          <cell r="F87" t="str">
            <v>M</v>
          </cell>
          <cell r="G87">
            <v>35031</v>
          </cell>
          <cell r="H87">
            <v>2</v>
          </cell>
          <cell r="I87">
            <v>7000</v>
          </cell>
          <cell r="J87">
            <v>210.8</v>
          </cell>
          <cell r="K87">
            <v>210.8</v>
          </cell>
          <cell r="L87">
            <v>421.6</v>
          </cell>
          <cell r="M87">
            <v>15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  <cell r="W87">
            <v>3122.1496324316554</v>
          </cell>
          <cell r="X87">
            <v>0</v>
          </cell>
          <cell r="Y87">
            <v>0</v>
          </cell>
          <cell r="Z87">
            <v>0</v>
          </cell>
          <cell r="AB87">
            <v>434.62697303815992</v>
          </cell>
          <cell r="AC87">
            <v>0</v>
          </cell>
          <cell r="AD87">
            <v>0</v>
          </cell>
          <cell r="AE87">
            <v>0</v>
          </cell>
          <cell r="AH87">
            <v>95</v>
          </cell>
          <cell r="AI87">
            <v>84</v>
          </cell>
          <cell r="AJ87">
            <v>2</v>
          </cell>
          <cell r="AK87">
            <v>6.2089567576879987E-2</v>
          </cell>
          <cell r="AL87">
            <v>0</v>
          </cell>
          <cell r="AM87">
            <v>2.4296389271082353E-3</v>
          </cell>
          <cell r="AN87">
            <v>6.0946787434828287E-2</v>
          </cell>
          <cell r="AO87">
            <v>0.12093086651932738</v>
          </cell>
          <cell r="AP87">
            <v>0.18245249462021018</v>
          </cell>
          <cell r="AQ87">
            <v>0.24560289559891979</v>
          </cell>
          <cell r="AR87">
            <v>0.31049375085136321</v>
          </cell>
          <cell r="AS87">
            <v>0.3772527567808589</v>
          </cell>
          <cell r="AT87">
            <v>0.44602137606166503</v>
          </cell>
          <cell r="AU87">
            <v>0.51695170653550648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C87">
            <v>0.81307209015294002</v>
          </cell>
          <cell r="BD87">
            <v>1.8277496202022281</v>
          </cell>
          <cell r="BE87">
            <v>2.6989726657802713</v>
          </cell>
          <cell r="BF87">
            <v>3.888218133615597</v>
          </cell>
          <cell r="BG87">
            <v>5.4254198593229299</v>
          </cell>
          <cell r="BH87">
            <v>7.3436997704186959</v>
          </cell>
          <cell r="BI87">
            <v>9.6797323308773446</v>
          </cell>
          <cell r="BJ87">
            <v>12.474102028113645</v>
          </cell>
          <cell r="BL87">
            <v>51.405898392930872</v>
          </cell>
        </row>
        <row r="88">
          <cell r="A88">
            <v>10000324</v>
          </cell>
          <cell r="B88" t="str">
            <v/>
          </cell>
          <cell r="C88" t="str">
            <v>LSPU</v>
          </cell>
          <cell r="D88" t="str">
            <v>USD</v>
          </cell>
          <cell r="E88">
            <v>38</v>
          </cell>
          <cell r="F88" t="str">
            <v>M</v>
          </cell>
          <cell r="G88">
            <v>34830</v>
          </cell>
          <cell r="H88">
            <v>1</v>
          </cell>
          <cell r="I88">
            <v>26150</v>
          </cell>
          <cell r="J88">
            <v>400.1</v>
          </cell>
          <cell r="K88">
            <v>400.1</v>
          </cell>
          <cell r="L88">
            <v>400.1</v>
          </cell>
          <cell r="M88">
            <v>47</v>
          </cell>
          <cell r="N88">
            <v>47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T88">
            <v>0</v>
          </cell>
          <cell r="U88">
            <v>0</v>
          </cell>
          <cell r="W88">
            <v>3683.5915308294852</v>
          </cell>
          <cell r="X88">
            <v>0</v>
          </cell>
          <cell r="Y88">
            <v>0</v>
          </cell>
          <cell r="Z88">
            <v>0</v>
          </cell>
          <cell r="AB88">
            <v>497.39511073485488</v>
          </cell>
          <cell r="AC88">
            <v>0</v>
          </cell>
          <cell r="AD88">
            <v>0</v>
          </cell>
          <cell r="AE88">
            <v>0</v>
          </cell>
          <cell r="AH88">
            <v>101</v>
          </cell>
          <cell r="AI88">
            <v>96</v>
          </cell>
          <cell r="AJ88">
            <v>1</v>
          </cell>
          <cell r="AK88">
            <v>1.9020845534793687E-2</v>
          </cell>
          <cell r="AL88">
            <v>0</v>
          </cell>
          <cell r="AM88">
            <v>0</v>
          </cell>
          <cell r="AN88">
            <v>1.6692326533948976E-2</v>
          </cell>
          <cell r="AO88">
            <v>3.3651285851063972E-2</v>
          </cell>
          <cell r="AP88">
            <v>5.0874606152008728E-2</v>
          </cell>
          <cell r="AQ88">
            <v>6.8361196647752476E-2</v>
          </cell>
          <cell r="AR88">
            <v>8.6102039562001131E-2</v>
          </cell>
          <cell r="AS88">
            <v>0.10409867564954528</v>
          </cell>
          <cell r="AT88">
            <v>0.1223540426385889</v>
          </cell>
          <cell r="AU88">
            <v>0.14086392087302047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C88">
            <v>0.64249148337061834</v>
          </cell>
          <cell r="BD88">
            <v>0.91370754293919643</v>
          </cell>
          <cell r="BE88">
            <v>1.0521721383323988</v>
          </cell>
          <cell r="BF88">
            <v>1.2402917191486891</v>
          </cell>
          <cell r="BG88">
            <v>1.480801161587723</v>
          </cell>
          <cell r="BH88">
            <v>1.7766765965979423</v>
          </cell>
          <cell r="BI88">
            <v>2.1310792731478618</v>
          </cell>
          <cell r="BJ88">
            <v>2.5471767557940721</v>
          </cell>
          <cell r="BL88">
            <v>55.727722992816581</v>
          </cell>
        </row>
        <row r="89">
          <cell r="A89">
            <v>10000574</v>
          </cell>
          <cell r="B89" t="str">
            <v/>
          </cell>
          <cell r="C89" t="str">
            <v>LSPL</v>
          </cell>
          <cell r="D89" t="str">
            <v>USD</v>
          </cell>
          <cell r="E89">
            <v>23</v>
          </cell>
          <cell r="F89" t="str">
            <v>M</v>
          </cell>
          <cell r="G89">
            <v>34915</v>
          </cell>
          <cell r="H89">
            <v>2</v>
          </cell>
          <cell r="I89">
            <v>50000</v>
          </cell>
          <cell r="J89">
            <v>319.8</v>
          </cell>
          <cell r="K89">
            <v>319.8</v>
          </cell>
          <cell r="L89">
            <v>639.6</v>
          </cell>
          <cell r="M89">
            <v>20</v>
          </cell>
          <cell r="N89">
            <v>62</v>
          </cell>
          <cell r="O89">
            <v>50000</v>
          </cell>
          <cell r="P89">
            <v>130</v>
          </cell>
          <cell r="Q89">
            <v>0</v>
          </cell>
          <cell r="R89">
            <v>0</v>
          </cell>
          <cell r="T89">
            <v>8.64</v>
          </cell>
          <cell r="U89">
            <v>17.28</v>
          </cell>
          <cell r="W89">
            <v>7647.197772136381</v>
          </cell>
          <cell r="X89">
            <v>130</v>
          </cell>
          <cell r="Y89">
            <v>0</v>
          </cell>
          <cell r="Z89">
            <v>34.56</v>
          </cell>
          <cell r="AB89">
            <v>984.39292952096571</v>
          </cell>
          <cell r="AC89">
            <v>130</v>
          </cell>
          <cell r="AD89">
            <v>0</v>
          </cell>
          <cell r="AE89">
            <v>17.28</v>
          </cell>
          <cell r="AH89">
            <v>98</v>
          </cell>
          <cell r="AI89">
            <v>96</v>
          </cell>
          <cell r="AJ89">
            <v>1</v>
          </cell>
          <cell r="AK89">
            <v>1.9687858590419313E-2</v>
          </cell>
          <cell r="AL89">
            <v>0</v>
          </cell>
          <cell r="AM89">
            <v>1.1102230246251565E-16</v>
          </cell>
          <cell r="AN89">
            <v>1.8462507214642321E-2</v>
          </cell>
          <cell r="AO89">
            <v>3.7515152381368211E-2</v>
          </cell>
          <cell r="AP89">
            <v>5.7154399340377193E-2</v>
          </cell>
          <cell r="AQ89">
            <v>7.737773595237199E-2</v>
          </cell>
          <cell r="AR89">
            <v>9.8201841523307437E-2</v>
          </cell>
          <cell r="AS89">
            <v>0.11961740881000743</v>
          </cell>
          <cell r="AT89">
            <v>0.14163402179207463</v>
          </cell>
          <cell r="AU89">
            <v>0.16425388909338062</v>
          </cell>
          <cell r="AW89">
            <v>0</v>
          </cell>
          <cell r="AY89">
            <v>1</v>
          </cell>
          <cell r="AZ89">
            <v>0</v>
          </cell>
          <cell r="BA89">
            <v>1</v>
          </cell>
          <cell r="BC89">
            <v>1.3699638238574581</v>
          </cell>
          <cell r="BD89">
            <v>1.7368622391252588</v>
          </cell>
          <cell r="BE89">
            <v>1.8409525154922213</v>
          </cell>
          <cell r="BF89">
            <v>1.9922745250136882</v>
          </cell>
          <cell r="BG89">
            <v>2.1954699441163101</v>
          </cell>
          <cell r="BH89">
            <v>2.4548850800386726</v>
          </cell>
          <cell r="BI89">
            <v>2.7754410300682855</v>
          </cell>
          <cell r="BJ89">
            <v>3.1620997823527244</v>
          </cell>
          <cell r="BL89">
            <v>138.77205150341425</v>
          </cell>
        </row>
        <row r="90">
          <cell r="A90">
            <v>10000667</v>
          </cell>
          <cell r="B90" t="str">
            <v/>
          </cell>
          <cell r="C90" t="str">
            <v>LSPU</v>
          </cell>
          <cell r="D90" t="str">
            <v>USD</v>
          </cell>
          <cell r="E90">
            <v>35</v>
          </cell>
          <cell r="F90" t="str">
            <v>M</v>
          </cell>
          <cell r="G90">
            <v>34950</v>
          </cell>
          <cell r="H90">
            <v>1</v>
          </cell>
          <cell r="I90">
            <v>35000</v>
          </cell>
          <cell r="J90">
            <v>462</v>
          </cell>
          <cell r="K90">
            <v>462</v>
          </cell>
          <cell r="L90">
            <v>462</v>
          </cell>
          <cell r="M90">
            <v>50</v>
          </cell>
          <cell r="N90">
            <v>50</v>
          </cell>
          <cell r="O90">
            <v>35000</v>
          </cell>
          <cell r="P90">
            <v>87.5</v>
          </cell>
          <cell r="Q90">
            <v>0</v>
          </cell>
          <cell r="R90">
            <v>0</v>
          </cell>
          <cell r="T90">
            <v>21.25</v>
          </cell>
          <cell r="U90">
            <v>21.25</v>
          </cell>
          <cell r="W90">
            <v>4488.7840221845299</v>
          </cell>
          <cell r="X90">
            <v>87.5</v>
          </cell>
          <cell r="Y90">
            <v>0</v>
          </cell>
          <cell r="Z90">
            <v>42.5</v>
          </cell>
          <cell r="AB90">
            <v>591.82378441943536</v>
          </cell>
          <cell r="AC90">
            <v>87.5</v>
          </cell>
          <cell r="AD90">
            <v>0</v>
          </cell>
          <cell r="AE90">
            <v>21.25</v>
          </cell>
          <cell r="AH90">
            <v>97</v>
          </cell>
          <cell r="AI90">
            <v>96</v>
          </cell>
          <cell r="AJ90">
            <v>1</v>
          </cell>
          <cell r="AK90">
            <v>1.6909250983412439E-2</v>
          </cell>
          <cell r="AL90">
            <v>0</v>
          </cell>
          <cell r="AM90">
            <v>0</v>
          </cell>
          <cell r="AN90">
            <v>1.5089262474396958E-2</v>
          </cell>
          <cell r="AO90">
            <v>3.0464328756502901E-2</v>
          </cell>
          <cell r="AP90">
            <v>4.6119954661255069E-2</v>
          </cell>
          <cell r="AQ90">
            <v>6.2042431852267266E-2</v>
          </cell>
          <cell r="AR90">
            <v>7.8219244734574978E-2</v>
          </cell>
          <cell r="AS90">
            <v>9.4648226284123893E-2</v>
          </cell>
          <cell r="AT90">
            <v>0.11132833601902437</v>
          </cell>
          <cell r="AU90">
            <v>0.12825097206241515</v>
          </cell>
          <cell r="AW90">
            <v>0</v>
          </cell>
          <cell r="AY90">
            <v>1</v>
          </cell>
          <cell r="AZ90">
            <v>0</v>
          </cell>
          <cell r="BA90">
            <v>1</v>
          </cell>
          <cell r="BC90">
            <v>0.74724998330846293</v>
          </cell>
          <cell r="BD90">
            <v>1.0097387547915846</v>
          </cell>
          <cell r="BE90">
            <v>1.1245401861910735</v>
          </cell>
          <cell r="BF90">
            <v>1.2826015739276289</v>
          </cell>
          <cell r="BG90">
            <v>1.4863720382929879</v>
          </cell>
          <cell r="BH90">
            <v>1.7384903530581997</v>
          </cell>
          <cell r="BI90">
            <v>2.0417212724024894</v>
          </cell>
          <cell r="BJ90">
            <v>2.3987661767364741</v>
          </cell>
          <cell r="BL90">
            <v>71.460244534087138</v>
          </cell>
        </row>
        <row r="91">
          <cell r="A91">
            <v>10000780</v>
          </cell>
          <cell r="B91" t="str">
            <v/>
          </cell>
          <cell r="C91" t="str">
            <v>LSPL</v>
          </cell>
          <cell r="D91" t="str">
            <v>USD</v>
          </cell>
          <cell r="E91">
            <v>33</v>
          </cell>
          <cell r="F91" t="str">
            <v>M</v>
          </cell>
          <cell r="G91">
            <v>34989</v>
          </cell>
          <cell r="H91">
            <v>1</v>
          </cell>
          <cell r="I91">
            <v>30000</v>
          </cell>
          <cell r="J91">
            <v>606</v>
          </cell>
          <cell r="K91">
            <v>606</v>
          </cell>
          <cell r="L91">
            <v>606</v>
          </cell>
          <cell r="M91">
            <v>20</v>
          </cell>
          <cell r="N91">
            <v>52</v>
          </cell>
          <cell r="O91">
            <v>30000</v>
          </cell>
          <cell r="P91">
            <v>75</v>
          </cell>
          <cell r="Q91">
            <v>0</v>
          </cell>
          <cell r="R91">
            <v>0</v>
          </cell>
          <cell r="T91">
            <v>21.82</v>
          </cell>
          <cell r="U91">
            <v>21.82</v>
          </cell>
          <cell r="W91">
            <v>6233.4572050566776</v>
          </cell>
          <cell r="X91">
            <v>75</v>
          </cell>
          <cell r="Y91">
            <v>0</v>
          </cell>
          <cell r="Z91">
            <v>43.64</v>
          </cell>
          <cell r="AB91">
            <v>755.60381589309941</v>
          </cell>
          <cell r="AC91">
            <v>75</v>
          </cell>
          <cell r="AD91">
            <v>0</v>
          </cell>
          <cell r="AE91">
            <v>21.82</v>
          </cell>
          <cell r="AH91">
            <v>96</v>
          </cell>
          <cell r="AI91">
            <v>96</v>
          </cell>
          <cell r="AJ91">
            <v>1</v>
          </cell>
          <cell r="AK91">
            <v>2.5186793863103314E-2</v>
          </cell>
          <cell r="AL91">
            <v>0</v>
          </cell>
          <cell r="AM91">
            <v>0</v>
          </cell>
          <cell r="AN91">
            <v>2.3878381376159663E-2</v>
          </cell>
          <cell r="AO91">
            <v>4.83493857253669E-2</v>
          </cell>
          <cell r="AP91">
            <v>7.3408732787219433E-2</v>
          </cell>
          <cell r="AQ91">
            <v>9.9063571927305694E-2</v>
          </cell>
          <cell r="AR91">
            <v>0.12532311680267666</v>
          </cell>
          <cell r="AS91">
            <v>0.15219028503569204</v>
          </cell>
          <cell r="AT91">
            <v>0.17967091194112683</v>
          </cell>
          <cell r="AU91">
            <v>0.20778190683522257</v>
          </cell>
          <cell r="AW91">
            <v>0</v>
          </cell>
          <cell r="AY91">
            <v>1</v>
          </cell>
          <cell r="AZ91">
            <v>0</v>
          </cell>
          <cell r="BA91">
            <v>1</v>
          </cell>
          <cell r="BC91">
            <v>1.3192208923997844</v>
          </cell>
          <cell r="BD91">
            <v>1.8181099026305672</v>
          </cell>
          <cell r="BE91">
            <v>2.02186107176867</v>
          </cell>
          <cell r="BF91">
            <v>2.3003235452745354</v>
          </cell>
          <cell r="BG91">
            <v>2.6590380665973221</v>
          </cell>
          <cell r="BH91">
            <v>3.1036568766985173</v>
          </cell>
          <cell r="BI91">
            <v>3.6400964052682454</v>
          </cell>
          <cell r="BJ91">
            <v>4.2748606877344582</v>
          </cell>
          <cell r="BL91">
            <v>109.20289215804736</v>
          </cell>
        </row>
        <row r="92">
          <cell r="A92">
            <v>10000856</v>
          </cell>
          <cell r="B92" t="str">
            <v/>
          </cell>
          <cell r="C92" t="str">
            <v>LSPL</v>
          </cell>
          <cell r="D92" t="str">
            <v>USD</v>
          </cell>
          <cell r="E92">
            <v>29</v>
          </cell>
          <cell r="F92" t="str">
            <v>F</v>
          </cell>
          <cell r="G92">
            <v>35025</v>
          </cell>
          <cell r="H92">
            <v>1</v>
          </cell>
          <cell r="I92">
            <v>50000</v>
          </cell>
          <cell r="J92">
            <v>690</v>
          </cell>
          <cell r="K92">
            <v>690</v>
          </cell>
          <cell r="L92">
            <v>690</v>
          </cell>
          <cell r="M92">
            <v>20</v>
          </cell>
          <cell r="N92">
            <v>56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T92">
            <v>0</v>
          </cell>
          <cell r="U92">
            <v>0</v>
          </cell>
          <cell r="W92">
            <v>7701.5671613257382</v>
          </cell>
          <cell r="X92">
            <v>0</v>
          </cell>
          <cell r="Y92">
            <v>0</v>
          </cell>
          <cell r="Z92">
            <v>0</v>
          </cell>
          <cell r="AB92">
            <v>1064.9586032409445</v>
          </cell>
          <cell r="AC92">
            <v>0</v>
          </cell>
          <cell r="AD92">
            <v>0</v>
          </cell>
          <cell r="AE92">
            <v>0</v>
          </cell>
          <cell r="AH92">
            <v>95</v>
          </cell>
          <cell r="AI92">
            <v>84</v>
          </cell>
          <cell r="AJ92">
            <v>1</v>
          </cell>
          <cell r="AK92">
            <v>2.1299172064818888E-2</v>
          </cell>
          <cell r="AL92">
            <v>0</v>
          </cell>
          <cell r="AM92">
            <v>0</v>
          </cell>
          <cell r="AN92">
            <v>2.0341447246738698E-2</v>
          </cell>
          <cell r="AO92">
            <v>4.1220048682123367E-2</v>
          </cell>
          <cell r="AP92">
            <v>6.2653915762079071E-2</v>
          </cell>
          <cell r="AQ92">
            <v>8.4640696415489491E-2</v>
          </cell>
          <cell r="AR92">
            <v>0.10720019602645983</v>
          </cell>
          <cell r="AS92">
            <v>0.13033290153629232</v>
          </cell>
          <cell r="AT92">
            <v>0.15403134322651477</v>
          </cell>
          <cell r="AU92">
            <v>0.17829999264526775</v>
          </cell>
          <cell r="AW92">
            <v>0</v>
          </cell>
          <cell r="AY92">
            <v>0</v>
          </cell>
          <cell r="AZ92">
            <v>0</v>
          </cell>
          <cell r="BA92">
            <v>0</v>
          </cell>
          <cell r="BC92">
            <v>2.055008522669465</v>
          </cell>
          <cell r="BD92">
            <v>2.6409430355855235</v>
          </cell>
          <cell r="BE92">
            <v>2.7766338641584802</v>
          </cell>
          <cell r="BF92">
            <v>2.9673944028855734</v>
          </cell>
          <cell r="BG92">
            <v>3.2178845467460473</v>
          </cell>
          <cell r="BH92">
            <v>3.5326599944768486</v>
          </cell>
          <cell r="BI92">
            <v>3.916157361372461</v>
          </cell>
          <cell r="BJ92">
            <v>4.3732003077403752</v>
          </cell>
          <cell r="BL92">
            <v>176.63299972384243</v>
          </cell>
        </row>
        <row r="93">
          <cell r="A93">
            <v>10000857</v>
          </cell>
          <cell r="B93" t="str">
            <v/>
          </cell>
          <cell r="C93" t="str">
            <v>LSPL</v>
          </cell>
          <cell r="D93" t="str">
            <v>USD</v>
          </cell>
          <cell r="E93">
            <v>23</v>
          </cell>
          <cell r="F93" t="str">
            <v>M</v>
          </cell>
          <cell r="G93">
            <v>35025</v>
          </cell>
          <cell r="H93">
            <v>1</v>
          </cell>
          <cell r="I93">
            <v>50000</v>
          </cell>
          <cell r="J93">
            <v>615</v>
          </cell>
          <cell r="K93">
            <v>615</v>
          </cell>
          <cell r="L93">
            <v>615</v>
          </cell>
          <cell r="M93">
            <v>20</v>
          </cell>
          <cell r="N93">
            <v>62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T93">
            <v>0</v>
          </cell>
          <cell r="U93">
            <v>0</v>
          </cell>
          <cell r="W93">
            <v>7081.7010896037309</v>
          </cell>
          <cell r="X93">
            <v>0</v>
          </cell>
          <cell r="Y93">
            <v>0</v>
          </cell>
          <cell r="Z93">
            <v>0</v>
          </cell>
          <cell r="AB93">
            <v>984.39292952096571</v>
          </cell>
          <cell r="AC93">
            <v>0</v>
          </cell>
          <cell r="AD93">
            <v>0</v>
          </cell>
          <cell r="AE93">
            <v>0</v>
          </cell>
          <cell r="AH93">
            <v>95</v>
          </cell>
          <cell r="AI93">
            <v>84</v>
          </cell>
          <cell r="AJ93">
            <v>1</v>
          </cell>
          <cell r="AK93">
            <v>1.9687858590419313E-2</v>
          </cell>
          <cell r="AL93">
            <v>0</v>
          </cell>
          <cell r="AM93">
            <v>1.1102230246251565E-16</v>
          </cell>
          <cell r="AN93">
            <v>1.8462507214642321E-2</v>
          </cell>
          <cell r="AO93">
            <v>3.7515152381368211E-2</v>
          </cell>
          <cell r="AP93">
            <v>5.7154399340377193E-2</v>
          </cell>
          <cell r="AQ93">
            <v>7.737773595237199E-2</v>
          </cell>
          <cell r="AR93">
            <v>9.8201841523307437E-2</v>
          </cell>
          <cell r="AS93">
            <v>0.11961740881000743</v>
          </cell>
          <cell r="AT93">
            <v>0.14163402179207463</v>
          </cell>
          <cell r="AU93">
            <v>0.16425388909338062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C93">
            <v>1.3699638238574581</v>
          </cell>
          <cell r="BD93">
            <v>1.7368622391252588</v>
          </cell>
          <cell r="BE93">
            <v>1.8409525154922213</v>
          </cell>
          <cell r="BF93">
            <v>1.9922745250136882</v>
          </cell>
          <cell r="BG93">
            <v>2.1954699441163101</v>
          </cell>
          <cell r="BH93">
            <v>2.4548850800386726</v>
          </cell>
          <cell r="BI93">
            <v>2.7754410300682855</v>
          </cell>
          <cell r="BJ93">
            <v>3.1620997823527244</v>
          </cell>
          <cell r="BL93">
            <v>122.74425400193363</v>
          </cell>
        </row>
        <row r="94">
          <cell r="A94">
            <v>10000878</v>
          </cell>
          <cell r="B94" t="str">
            <v/>
          </cell>
          <cell r="C94" t="str">
            <v>LSPL</v>
          </cell>
          <cell r="D94" t="str">
            <v>USD</v>
          </cell>
          <cell r="E94">
            <v>29</v>
          </cell>
          <cell r="F94" t="str">
            <v>M</v>
          </cell>
          <cell r="G94">
            <v>35051</v>
          </cell>
          <cell r="H94">
            <v>1</v>
          </cell>
          <cell r="I94">
            <v>100000</v>
          </cell>
          <cell r="J94">
            <v>1530</v>
          </cell>
          <cell r="K94">
            <v>1530</v>
          </cell>
          <cell r="L94">
            <v>1530</v>
          </cell>
          <cell r="M94">
            <v>20</v>
          </cell>
          <cell r="N94">
            <v>56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T94">
            <v>47.43</v>
          </cell>
          <cell r="U94">
            <v>47.43</v>
          </cell>
          <cell r="W94">
            <v>16416.774793260956</v>
          </cell>
          <cell r="X94">
            <v>0</v>
          </cell>
          <cell r="Y94">
            <v>0</v>
          </cell>
          <cell r="Z94">
            <v>94.86</v>
          </cell>
          <cell r="AB94">
            <v>2275.4402845317218</v>
          </cell>
          <cell r="AC94">
            <v>0</v>
          </cell>
          <cell r="AD94">
            <v>0</v>
          </cell>
          <cell r="AE94">
            <v>47.43</v>
          </cell>
          <cell r="AH94">
            <v>94</v>
          </cell>
          <cell r="AI94">
            <v>84</v>
          </cell>
          <cell r="AJ94">
            <v>1</v>
          </cell>
          <cell r="AK94">
            <v>2.2754402845317219E-2</v>
          </cell>
          <cell r="AL94">
            <v>0</v>
          </cell>
          <cell r="AM94">
            <v>0</v>
          </cell>
          <cell r="AN94">
            <v>2.16680680426381E-2</v>
          </cell>
          <cell r="AO94">
            <v>4.3923150508288933E-2</v>
          </cell>
          <cell r="AP94">
            <v>6.6766038562943109E-2</v>
          </cell>
          <cell r="AQ94">
            <v>9.020815945793037E-2</v>
          </cell>
          <cell r="AR94">
            <v>0.11425325193304958</v>
          </cell>
          <cell r="AS94">
            <v>0.1389067930256376</v>
          </cell>
          <cell r="AT94">
            <v>0.16416774793260958</v>
          </cell>
          <cell r="AU94">
            <v>0.19004572377652318</v>
          </cell>
          <cell r="AW94">
            <v>0</v>
          </cell>
          <cell r="AY94">
            <v>0</v>
          </cell>
          <cell r="AZ94">
            <v>0</v>
          </cell>
          <cell r="BA94">
            <v>1</v>
          </cell>
          <cell r="BC94">
            <v>1.4145121923304198</v>
          </cell>
          <cell r="BD94">
            <v>1.8741270713319995</v>
          </cell>
          <cell r="BE94">
            <v>2.0343643472921431</v>
          </cell>
          <cell r="BF94">
            <v>2.2574463548938155</v>
          </cell>
          <cell r="BG94">
            <v>2.5484064521832481</v>
          </cell>
          <cell r="BH94">
            <v>2.9125290891622466</v>
          </cell>
          <cell r="BI94">
            <v>3.3551292828481882</v>
          </cell>
          <cell r="BJ94">
            <v>3.8820033914841918</v>
          </cell>
          <cell r="BL94">
            <v>291.25290891622467</v>
          </cell>
        </row>
        <row r="95">
          <cell r="A95">
            <v>10000954</v>
          </cell>
          <cell r="B95" t="str">
            <v/>
          </cell>
          <cell r="C95" t="str">
            <v>LSPL</v>
          </cell>
          <cell r="D95" t="str">
            <v>USD</v>
          </cell>
          <cell r="E95">
            <v>33</v>
          </cell>
          <cell r="F95" t="str">
            <v>M</v>
          </cell>
          <cell r="G95">
            <v>35052</v>
          </cell>
          <cell r="H95">
            <v>1</v>
          </cell>
          <cell r="I95">
            <v>200000</v>
          </cell>
          <cell r="J95">
            <v>3400</v>
          </cell>
          <cell r="K95">
            <v>3400</v>
          </cell>
          <cell r="L95">
            <v>3400</v>
          </cell>
          <cell r="M95">
            <v>20</v>
          </cell>
          <cell r="N95">
            <v>52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T95">
            <v>122.4</v>
          </cell>
          <cell r="U95">
            <v>122.4</v>
          </cell>
          <cell r="W95">
            <v>35934.182388225367</v>
          </cell>
          <cell r="X95">
            <v>0</v>
          </cell>
          <cell r="Y95">
            <v>0</v>
          </cell>
          <cell r="Z95">
            <v>244.8</v>
          </cell>
          <cell r="AB95">
            <v>5037.3587726206624</v>
          </cell>
          <cell r="AC95">
            <v>0</v>
          </cell>
          <cell r="AD95">
            <v>0</v>
          </cell>
          <cell r="AE95">
            <v>122.4</v>
          </cell>
          <cell r="AH95">
            <v>94</v>
          </cell>
          <cell r="AI95">
            <v>84</v>
          </cell>
          <cell r="AJ95">
            <v>1</v>
          </cell>
          <cell r="AK95">
            <v>2.5186793863103314E-2</v>
          </cell>
          <cell r="AL95">
            <v>0</v>
          </cell>
          <cell r="AM95">
            <v>0</v>
          </cell>
          <cell r="AN95">
            <v>2.3878381376159663E-2</v>
          </cell>
          <cell r="AO95">
            <v>4.83493857253669E-2</v>
          </cell>
          <cell r="AP95">
            <v>7.3408732787219433E-2</v>
          </cell>
          <cell r="AQ95">
            <v>9.9063571927305694E-2</v>
          </cell>
          <cell r="AR95">
            <v>0.12532311680267666</v>
          </cell>
          <cell r="AS95">
            <v>0.15219028503569204</v>
          </cell>
          <cell r="AT95">
            <v>0.17967091194112683</v>
          </cell>
          <cell r="AU95">
            <v>0.20778190683522257</v>
          </cell>
          <cell r="AW95">
            <v>0</v>
          </cell>
          <cell r="AY95">
            <v>0</v>
          </cell>
          <cell r="AZ95">
            <v>0</v>
          </cell>
          <cell r="BA95">
            <v>1</v>
          </cell>
          <cell r="BC95">
            <v>1.3192208923997844</v>
          </cell>
          <cell r="BD95">
            <v>1.8181099026305672</v>
          </cell>
          <cell r="BE95">
            <v>2.02186107176867</v>
          </cell>
          <cell r="BF95">
            <v>2.3003235452745354</v>
          </cell>
          <cell r="BG95">
            <v>2.6590380665973221</v>
          </cell>
          <cell r="BH95">
            <v>3.1036568766985173</v>
          </cell>
          <cell r="BI95">
            <v>3.6400964052682454</v>
          </cell>
          <cell r="BJ95">
            <v>4.2748606877344582</v>
          </cell>
          <cell r="BL95">
            <v>620.7313753397035</v>
          </cell>
        </row>
        <row r="96">
          <cell r="A96">
            <v>10000955</v>
          </cell>
          <cell r="B96" t="str">
            <v/>
          </cell>
          <cell r="C96" t="str">
            <v>LSPU</v>
          </cell>
          <cell r="D96" t="str">
            <v>USD</v>
          </cell>
          <cell r="E96">
            <v>28</v>
          </cell>
          <cell r="F96" t="str">
            <v>M</v>
          </cell>
          <cell r="G96">
            <v>35055</v>
          </cell>
          <cell r="H96">
            <v>1</v>
          </cell>
          <cell r="I96">
            <v>21000</v>
          </cell>
          <cell r="J96">
            <v>226.8</v>
          </cell>
          <cell r="K96">
            <v>226.8</v>
          </cell>
          <cell r="L96">
            <v>226.8</v>
          </cell>
          <cell r="M96">
            <v>57</v>
          </cell>
          <cell r="N96">
            <v>57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T96">
            <v>7.95</v>
          </cell>
          <cell r="U96">
            <v>7.95</v>
          </cell>
          <cell r="W96">
            <v>1854.5115531133895</v>
          </cell>
          <cell r="X96">
            <v>0</v>
          </cell>
          <cell r="Y96">
            <v>0</v>
          </cell>
          <cell r="Z96">
            <v>15.9</v>
          </cell>
          <cell r="AB96">
            <v>274.10174018967632</v>
          </cell>
          <cell r="AC96">
            <v>0</v>
          </cell>
          <cell r="AD96">
            <v>0</v>
          </cell>
          <cell r="AE96">
            <v>7.95</v>
          </cell>
          <cell r="AH96">
            <v>94</v>
          </cell>
          <cell r="AI96">
            <v>84</v>
          </cell>
          <cell r="AJ96">
            <v>1</v>
          </cell>
          <cell r="AK96">
            <v>1.3052463818556015E-2</v>
          </cell>
          <cell r="AL96">
            <v>0</v>
          </cell>
          <cell r="AM96">
            <v>0</v>
          </cell>
          <cell r="AN96">
            <v>1.1711550440323681E-2</v>
          </cell>
          <cell r="AO96">
            <v>2.373656363736415E-2</v>
          </cell>
          <cell r="AP96">
            <v>3.6065643869923836E-2</v>
          </cell>
          <cell r="AQ96">
            <v>4.8689905773709852E-2</v>
          </cell>
          <cell r="AR96">
            <v>6.1610425084968889E-2</v>
          </cell>
          <cell r="AS96">
            <v>7.481949831992768E-2</v>
          </cell>
          <cell r="AT96">
            <v>8.8310073957780455E-2</v>
          </cell>
          <cell r="AU96">
            <v>0.10206680254709505</v>
          </cell>
          <cell r="AW96">
            <v>0</v>
          </cell>
          <cell r="AY96">
            <v>0</v>
          </cell>
          <cell r="AZ96">
            <v>0</v>
          </cell>
          <cell r="BA96">
            <v>1</v>
          </cell>
          <cell r="BC96">
            <v>0.83176625628517431</v>
          </cell>
          <cell r="BD96">
            <v>1.0447945797720741</v>
          </cell>
          <cell r="BE96">
            <v>1.1115349213548764</v>
          </cell>
          <cell r="BF96">
            <v>1.2087853068256331</v>
          </cell>
          <cell r="BG96">
            <v>1.3389040191244266</v>
          </cell>
          <cell r="BH96">
            <v>1.5042062603645436</v>
          </cell>
          <cell r="BI96">
            <v>1.7070575775044075</v>
          </cell>
          <cell r="BJ96">
            <v>1.9496682687108913</v>
          </cell>
          <cell r="BL96">
            <v>31.588331467655415</v>
          </cell>
        </row>
        <row r="97">
          <cell r="A97">
            <v>10000964</v>
          </cell>
          <cell r="B97" t="str">
            <v/>
          </cell>
          <cell r="C97" t="str">
            <v>LSPL</v>
          </cell>
          <cell r="D97" t="str">
            <v>USD</v>
          </cell>
          <cell r="E97">
            <v>44</v>
          </cell>
          <cell r="F97" t="str">
            <v>F</v>
          </cell>
          <cell r="G97">
            <v>35061</v>
          </cell>
          <cell r="H97">
            <v>2</v>
          </cell>
          <cell r="I97">
            <v>20000</v>
          </cell>
          <cell r="J97">
            <v>264.16000000000003</v>
          </cell>
          <cell r="K97">
            <v>264.16000000000003</v>
          </cell>
          <cell r="L97">
            <v>528.32000000000005</v>
          </cell>
          <cell r="M97">
            <v>20</v>
          </cell>
          <cell r="N97">
            <v>41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T97">
            <v>17.690000000000001</v>
          </cell>
          <cell r="U97">
            <v>35.380000000000003</v>
          </cell>
          <cell r="W97">
            <v>4187.9633960843685</v>
          </cell>
          <cell r="X97">
            <v>0</v>
          </cell>
          <cell r="Y97">
            <v>0</v>
          </cell>
          <cell r="Z97">
            <v>70.760000000000005</v>
          </cell>
          <cell r="AB97">
            <v>624.31438292802147</v>
          </cell>
          <cell r="AC97">
            <v>0</v>
          </cell>
          <cell r="AD97">
            <v>0</v>
          </cell>
          <cell r="AE97">
            <v>35.380000000000003</v>
          </cell>
          <cell r="AH97">
            <v>94</v>
          </cell>
          <cell r="AI97">
            <v>84</v>
          </cell>
          <cell r="AJ97">
            <v>2</v>
          </cell>
          <cell r="AK97">
            <v>3.1215719146401075E-2</v>
          </cell>
          <cell r="AL97">
            <v>0</v>
          </cell>
          <cell r="AM97">
            <v>0</v>
          </cell>
          <cell r="AN97">
            <v>2.7960480175027502E-2</v>
          </cell>
          <cell r="AO97">
            <v>5.6550474341097667E-2</v>
          </cell>
          <cell r="AP97">
            <v>8.5774568567045295E-2</v>
          </cell>
          <cell r="AQ97">
            <v>0.11565135641380975</v>
          </cell>
          <cell r="AR97">
            <v>0.14620277814150912</v>
          </cell>
          <cell r="AS97">
            <v>0.17744484180757175</v>
          </cell>
          <cell r="AT97">
            <v>0.20939816980421844</v>
          </cell>
          <cell r="AU97">
            <v>0.24207078882709659</v>
          </cell>
          <cell r="AW97">
            <v>0</v>
          </cell>
          <cell r="AY97">
            <v>0</v>
          </cell>
          <cell r="AZ97">
            <v>0</v>
          </cell>
          <cell r="BA97">
            <v>1</v>
          </cell>
          <cell r="BC97">
            <v>1.785056885329277</v>
          </cell>
          <cell r="BD97">
            <v>2.5294522351474593</v>
          </cell>
          <cell r="BE97">
            <v>2.8228204754552229</v>
          </cell>
          <cell r="BF97">
            <v>3.2164442515683578</v>
          </cell>
          <cell r="BG97">
            <v>3.7175002620895237</v>
          </cell>
          <cell r="BH97">
            <v>4.3334906622799432</v>
          </cell>
          <cell r="BI97">
            <v>5.0724495385373576</v>
          </cell>
          <cell r="BJ97">
            <v>5.9424276261424449</v>
          </cell>
          <cell r="BL97">
            <v>86.669813245598874</v>
          </cell>
        </row>
        <row r="98">
          <cell r="A98">
            <v>10000972</v>
          </cell>
          <cell r="B98" t="str">
            <v/>
          </cell>
          <cell r="C98" t="str">
            <v>LSPL</v>
          </cell>
          <cell r="D98" t="str">
            <v>USD</v>
          </cell>
          <cell r="E98">
            <v>25</v>
          </cell>
          <cell r="F98" t="str">
            <v>M</v>
          </cell>
          <cell r="G98">
            <v>35061</v>
          </cell>
          <cell r="H98">
            <v>1</v>
          </cell>
          <cell r="I98">
            <v>31000</v>
          </cell>
          <cell r="J98">
            <v>409.2</v>
          </cell>
          <cell r="K98">
            <v>409.2</v>
          </cell>
          <cell r="L98">
            <v>409.2</v>
          </cell>
          <cell r="M98">
            <v>20</v>
          </cell>
          <cell r="N98">
            <v>60</v>
          </cell>
          <cell r="O98">
            <v>31000</v>
          </cell>
          <cell r="P98">
            <v>77.5</v>
          </cell>
          <cell r="Q98">
            <v>0</v>
          </cell>
          <cell r="R98">
            <v>0</v>
          </cell>
          <cell r="T98">
            <v>11.45</v>
          </cell>
          <cell r="U98">
            <v>11.45</v>
          </cell>
          <cell r="W98">
            <v>4619.1926132876224</v>
          </cell>
          <cell r="X98">
            <v>77.5</v>
          </cell>
          <cell r="Y98">
            <v>0</v>
          </cell>
          <cell r="Z98">
            <v>22.9</v>
          </cell>
          <cell r="AB98">
            <v>639.65175531980356</v>
          </cell>
          <cell r="AC98">
            <v>77.5</v>
          </cell>
          <cell r="AD98">
            <v>0</v>
          </cell>
          <cell r="AE98">
            <v>11.45</v>
          </cell>
          <cell r="AH98">
            <v>94</v>
          </cell>
          <cell r="AI98">
            <v>84</v>
          </cell>
          <cell r="AJ98">
            <v>1</v>
          </cell>
          <cell r="AK98">
            <v>2.0633927590961405E-2</v>
          </cell>
          <cell r="AL98">
            <v>0</v>
          </cell>
          <cell r="AM98">
            <v>5.5511151231257827E-17</v>
          </cell>
          <cell r="AN98">
            <v>1.9514926272902355E-2</v>
          </cell>
          <cell r="AO98">
            <v>3.9610681610674381E-2</v>
          </cell>
          <cell r="AP98">
            <v>6.0303852503937327E-2</v>
          </cell>
          <cell r="AQ98">
            <v>8.1583893344060132E-2</v>
          </cell>
          <cell r="AR98">
            <v>0.10345986577584243</v>
          </cell>
          <cell r="AS98">
            <v>0.12593305217831186</v>
          </cell>
          <cell r="AT98">
            <v>0.14900621333185879</v>
          </cell>
          <cell r="AU98">
            <v>0.17269199418686207</v>
          </cell>
          <cell r="AW98">
            <v>0</v>
          </cell>
          <cell r="AY98">
            <v>1</v>
          </cell>
          <cell r="AZ98">
            <v>0</v>
          </cell>
          <cell r="BA98">
            <v>1</v>
          </cell>
          <cell r="BC98">
            <v>1.4693672233638344</v>
          </cell>
          <cell r="BD98">
            <v>1.886528251778673</v>
          </cell>
          <cell r="BE98">
            <v>2.0082287939298471</v>
          </cell>
          <cell r="BF98">
            <v>2.182032854791669</v>
          </cell>
          <cell r="BG98">
            <v>2.4126005701961799</v>
          </cell>
          <cell r="BH98">
            <v>2.7046637690608599</v>
          </cell>
          <cell r="BI98">
            <v>3.0631621832252307</v>
          </cell>
          <cell r="BJ98">
            <v>3.4935554608176975</v>
          </cell>
          <cell r="BL98">
            <v>83.84457684088666</v>
          </cell>
        </row>
        <row r="99">
          <cell r="A99">
            <v>10001016</v>
          </cell>
          <cell r="B99" t="str">
            <v/>
          </cell>
          <cell r="C99" t="str">
            <v>LSPL</v>
          </cell>
          <cell r="D99" t="str">
            <v>USD</v>
          </cell>
          <cell r="E99">
            <v>29</v>
          </cell>
          <cell r="F99" t="str">
            <v>F</v>
          </cell>
          <cell r="G99">
            <v>35065</v>
          </cell>
          <cell r="H99">
            <v>1</v>
          </cell>
          <cell r="I99">
            <v>30000</v>
          </cell>
          <cell r="J99">
            <v>414</v>
          </cell>
          <cell r="K99">
            <v>414</v>
          </cell>
          <cell r="L99">
            <v>414</v>
          </cell>
          <cell r="M99">
            <v>20</v>
          </cell>
          <cell r="N99">
            <v>56</v>
          </cell>
          <cell r="O99">
            <v>30000</v>
          </cell>
          <cell r="P99">
            <v>75</v>
          </cell>
          <cell r="Q99">
            <v>0</v>
          </cell>
          <cell r="R99">
            <v>0</v>
          </cell>
          <cell r="T99">
            <v>12.83</v>
          </cell>
          <cell r="U99">
            <v>12.83</v>
          </cell>
          <cell r="W99">
            <v>4620.9402967954429</v>
          </cell>
          <cell r="X99">
            <v>75</v>
          </cell>
          <cell r="Y99">
            <v>0</v>
          </cell>
          <cell r="Z99">
            <v>25.66</v>
          </cell>
          <cell r="AB99">
            <v>638.97516194456659</v>
          </cell>
          <cell r="AC99">
            <v>75</v>
          </cell>
          <cell r="AD99">
            <v>0</v>
          </cell>
          <cell r="AE99">
            <v>12.83</v>
          </cell>
          <cell r="AH99">
            <v>93</v>
          </cell>
          <cell r="AI99">
            <v>84</v>
          </cell>
          <cell r="AJ99">
            <v>1</v>
          </cell>
          <cell r="AK99">
            <v>2.1299172064818888E-2</v>
          </cell>
          <cell r="AL99">
            <v>0</v>
          </cell>
          <cell r="AM99">
            <v>0</v>
          </cell>
          <cell r="AN99">
            <v>2.0341447246738698E-2</v>
          </cell>
          <cell r="AO99">
            <v>4.1220048682123367E-2</v>
          </cell>
          <cell r="AP99">
            <v>6.2653915762079071E-2</v>
          </cell>
          <cell r="AQ99">
            <v>8.4640696415489491E-2</v>
          </cell>
          <cell r="AR99">
            <v>0.10720019602645983</v>
          </cell>
          <cell r="AS99">
            <v>0.13033290153629232</v>
          </cell>
          <cell r="AT99">
            <v>0.15403134322651477</v>
          </cell>
          <cell r="AU99">
            <v>0.17829999264526775</v>
          </cell>
          <cell r="AW99">
            <v>0</v>
          </cell>
          <cell r="AY99">
            <v>1</v>
          </cell>
          <cell r="AZ99">
            <v>0</v>
          </cell>
          <cell r="BA99">
            <v>1</v>
          </cell>
          <cell r="BC99">
            <v>2.055008522669465</v>
          </cell>
          <cell r="BD99">
            <v>2.6409430355855235</v>
          </cell>
          <cell r="BE99">
            <v>2.7766338641584802</v>
          </cell>
          <cell r="BF99">
            <v>2.9673944028855734</v>
          </cell>
          <cell r="BG99">
            <v>3.2178845467460473</v>
          </cell>
          <cell r="BH99">
            <v>3.5326599944768486</v>
          </cell>
          <cell r="BI99">
            <v>3.916157361372461</v>
          </cell>
          <cell r="BJ99">
            <v>4.3732003077403752</v>
          </cell>
          <cell r="BL99">
            <v>105.97979983430547</v>
          </cell>
        </row>
        <row r="100">
          <cell r="A100">
            <v>10001074</v>
          </cell>
          <cell r="B100" t="str">
            <v/>
          </cell>
          <cell r="C100" t="str">
            <v>LSPL</v>
          </cell>
          <cell r="D100" t="str">
            <v>USD</v>
          </cell>
          <cell r="E100">
            <v>26</v>
          </cell>
          <cell r="F100" t="str">
            <v>M</v>
          </cell>
          <cell r="G100">
            <v>35089</v>
          </cell>
          <cell r="H100">
            <v>1</v>
          </cell>
          <cell r="I100">
            <v>30000</v>
          </cell>
          <cell r="J100">
            <v>411</v>
          </cell>
          <cell r="K100">
            <v>411</v>
          </cell>
          <cell r="L100">
            <v>411</v>
          </cell>
          <cell r="M100">
            <v>20</v>
          </cell>
          <cell r="N100">
            <v>59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T100">
            <v>11.94</v>
          </cell>
          <cell r="U100">
            <v>11.94</v>
          </cell>
          <cell r="W100">
            <v>4582.4126187849488</v>
          </cell>
          <cell r="X100">
            <v>0</v>
          </cell>
          <cell r="Y100">
            <v>0</v>
          </cell>
          <cell r="Z100">
            <v>23.88</v>
          </cell>
          <cell r="AB100">
            <v>634.06306137586023</v>
          </cell>
          <cell r="AC100">
            <v>0</v>
          </cell>
          <cell r="AD100">
            <v>0</v>
          </cell>
          <cell r="AE100">
            <v>11.94</v>
          </cell>
          <cell r="AH100">
            <v>93</v>
          </cell>
          <cell r="AI100">
            <v>84</v>
          </cell>
          <cell r="AJ100">
            <v>1</v>
          </cell>
          <cell r="AK100">
            <v>2.1135435379195339E-2</v>
          </cell>
          <cell r="AL100">
            <v>0</v>
          </cell>
          <cell r="AM100">
            <v>0</v>
          </cell>
          <cell r="AN100">
            <v>2.0040929842153443E-2</v>
          </cell>
          <cell r="AO100">
            <v>4.0677867639923537E-2</v>
          </cell>
          <cell r="AP100">
            <v>6.1899636226454169E-2</v>
          </cell>
          <cell r="AQ100">
            <v>8.3715037390237779E-2</v>
          </cell>
          <cell r="AR100">
            <v>0.10612488556460895</v>
          </cell>
          <cell r="AS100">
            <v>0.12913145559171524</v>
          </cell>
          <cell r="AT100">
            <v>0.15274708729283162</v>
          </cell>
          <cell r="AU100">
            <v>0.17697709509044307</v>
          </cell>
          <cell r="AW100">
            <v>0</v>
          </cell>
          <cell r="AY100">
            <v>0</v>
          </cell>
          <cell r="AZ100">
            <v>0</v>
          </cell>
          <cell r="BA100">
            <v>1</v>
          </cell>
          <cell r="BC100">
            <v>1.4576215429623065</v>
          </cell>
          <cell r="BD100">
            <v>1.8852847008981422</v>
          </cell>
          <cell r="BE100">
            <v>2.0161535738420131</v>
          </cell>
          <cell r="BF100">
            <v>2.2017422887602485</v>
          </cell>
          <cell r="BG100">
            <v>2.4466808138718399</v>
          </cell>
          <cell r="BH100">
            <v>2.7557954312418382</v>
          </cell>
          <cell r="BI100">
            <v>3.1343929380598015</v>
          </cell>
          <cell r="BJ100">
            <v>3.5878750378814912</v>
          </cell>
          <cell r="BL100">
            <v>82.673862937255151</v>
          </cell>
        </row>
        <row r="101">
          <cell r="A101">
            <v>10001141</v>
          </cell>
          <cell r="B101" t="str">
            <v/>
          </cell>
          <cell r="C101" t="str">
            <v>LSPL</v>
          </cell>
          <cell r="D101" t="str">
            <v>USD</v>
          </cell>
          <cell r="E101">
            <v>39</v>
          </cell>
          <cell r="F101" t="str">
            <v>M</v>
          </cell>
          <cell r="G101">
            <v>35121</v>
          </cell>
          <cell r="H101">
            <v>1</v>
          </cell>
          <cell r="I101">
            <v>25000</v>
          </cell>
          <cell r="J101">
            <v>580</v>
          </cell>
          <cell r="K101">
            <v>580</v>
          </cell>
          <cell r="L101">
            <v>580</v>
          </cell>
          <cell r="M101">
            <v>20</v>
          </cell>
          <cell r="N101">
            <v>46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T101">
            <v>27.84</v>
          </cell>
          <cell r="U101">
            <v>27.84</v>
          </cell>
          <cell r="W101">
            <v>5081.1096774592961</v>
          </cell>
          <cell r="X101">
            <v>0</v>
          </cell>
          <cell r="Y101">
            <v>0</v>
          </cell>
          <cell r="Z101">
            <v>55.68</v>
          </cell>
          <cell r="AB101">
            <v>736.77844915808691</v>
          </cell>
          <cell r="AC101">
            <v>0</v>
          </cell>
          <cell r="AD101">
            <v>0</v>
          </cell>
          <cell r="AE101">
            <v>27.84</v>
          </cell>
          <cell r="AH101">
            <v>92</v>
          </cell>
          <cell r="AI101">
            <v>84</v>
          </cell>
          <cell r="AJ101">
            <v>1</v>
          </cell>
          <cell r="AK101">
            <v>2.9471137966323478E-2</v>
          </cell>
          <cell r="AL101">
            <v>0</v>
          </cell>
          <cell r="AM101">
            <v>0</v>
          </cell>
          <cell r="AN101">
            <v>2.7217328846263045E-2</v>
          </cell>
          <cell r="AO101">
            <v>5.5015552840647741E-2</v>
          </cell>
          <cell r="AP101">
            <v>8.3409524138717717E-2</v>
          </cell>
          <cell r="AQ101">
            <v>0.11240788408579555</v>
          </cell>
          <cell r="AR101">
            <v>0.1420313722553081</v>
          </cell>
          <cell r="AS101">
            <v>0.17230382635136832</v>
          </cell>
          <cell r="AT101">
            <v>0.20324438709837184</v>
          </cell>
          <cell r="AU101">
            <v>0.23488411113857099</v>
          </cell>
          <cell r="AW101">
            <v>0</v>
          </cell>
          <cell r="AY101">
            <v>0</v>
          </cell>
          <cell r="AZ101">
            <v>0</v>
          </cell>
          <cell r="BA101">
            <v>1</v>
          </cell>
          <cell r="BC101">
            <v>0.97172180859650681</v>
          </cell>
          <cell r="BD101">
            <v>1.4907910746758797</v>
          </cell>
          <cell r="BE101">
            <v>1.7682222194284813</v>
          </cell>
          <cell r="BF101">
            <v>2.140774642852004</v>
          </cell>
          <cell r="BG101">
            <v>2.6150882109432589</v>
          </cell>
          <cell r="BH101">
            <v>3.1983359672931169</v>
          </cell>
          <cell r="BI101">
            <v>3.8980538704592664</v>
          </cell>
          <cell r="BJ101">
            <v>4.7226227452021377</v>
          </cell>
          <cell r="BL101">
            <v>79.958399182327923</v>
          </cell>
        </row>
        <row r="102">
          <cell r="A102">
            <v>10001157</v>
          </cell>
          <cell r="B102" t="str">
            <v/>
          </cell>
          <cell r="C102" t="str">
            <v>LSPL</v>
          </cell>
          <cell r="D102" t="str">
            <v>USD</v>
          </cell>
          <cell r="E102">
            <v>27</v>
          </cell>
          <cell r="F102" t="str">
            <v>F</v>
          </cell>
          <cell r="G102">
            <v>35123</v>
          </cell>
          <cell r="H102">
            <v>1</v>
          </cell>
          <cell r="I102">
            <v>108475</v>
          </cell>
          <cell r="J102">
            <v>1280.01</v>
          </cell>
          <cell r="K102">
            <v>1280.01</v>
          </cell>
          <cell r="L102">
            <v>1280.01</v>
          </cell>
          <cell r="M102">
            <v>20</v>
          </cell>
          <cell r="N102">
            <v>58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T102">
            <v>37.119999999999997</v>
          </cell>
          <cell r="U102">
            <v>37.119999999999997</v>
          </cell>
          <cell r="W102">
            <v>15939.381297423944</v>
          </cell>
          <cell r="X102">
            <v>0</v>
          </cell>
          <cell r="Y102">
            <v>0</v>
          </cell>
          <cell r="Z102">
            <v>74.239999999999995</v>
          </cell>
          <cell r="AB102">
            <v>2198.4845239348256</v>
          </cell>
          <cell r="AC102">
            <v>0</v>
          </cell>
          <cell r="AD102">
            <v>0</v>
          </cell>
          <cell r="AE102">
            <v>37.119999999999997</v>
          </cell>
          <cell r="AH102">
            <v>92</v>
          </cell>
          <cell r="AI102">
            <v>84</v>
          </cell>
          <cell r="AJ102">
            <v>1</v>
          </cell>
          <cell r="AK102">
            <v>2.0267200036274031E-2</v>
          </cell>
          <cell r="AL102">
            <v>0</v>
          </cell>
          <cell r="AM102">
            <v>0</v>
          </cell>
          <cell r="AN102">
            <v>1.9381076982589951E-2</v>
          </cell>
          <cell r="AO102">
            <v>3.9280232029102968E-2</v>
          </cell>
          <cell r="AP102">
            <v>5.9703549389237665E-2</v>
          </cell>
          <cell r="AQ102">
            <v>8.0668676984228499E-2</v>
          </cell>
          <cell r="AR102">
            <v>0.10219387237982439</v>
          </cell>
          <cell r="AS102">
            <v>0.12427784797630706</v>
          </cell>
          <cell r="AT102">
            <v>0.14694059734891859</v>
          </cell>
          <cell r="AU102">
            <v>0.17018372098781659</v>
          </cell>
          <cell r="AW102">
            <v>0</v>
          </cell>
          <cell r="AY102">
            <v>0</v>
          </cell>
          <cell r="AZ102">
            <v>0</v>
          </cell>
          <cell r="BA102">
            <v>1</v>
          </cell>
          <cell r="BC102">
            <v>2.0538996357447532</v>
          </cell>
          <cell r="BD102">
            <v>2.6163407762902504</v>
          </cell>
          <cell r="BE102">
            <v>2.735389381274433</v>
          </cell>
          <cell r="BF102">
            <v>2.9046899419574346</v>
          </cell>
          <cell r="BG102">
            <v>3.1286120645683155</v>
          </cell>
          <cell r="BH102">
            <v>3.4113856602798411</v>
          </cell>
          <cell r="BI102">
            <v>3.7579726550586168</v>
          </cell>
          <cell r="BJ102">
            <v>4.1731308957379465</v>
          </cell>
          <cell r="BL102">
            <v>370.05005949885577</v>
          </cell>
        </row>
        <row r="103">
          <cell r="A103">
            <v>10001215</v>
          </cell>
          <cell r="B103" t="str">
            <v/>
          </cell>
          <cell r="C103" t="str">
            <v>LSPL</v>
          </cell>
          <cell r="D103" t="str">
            <v>USD</v>
          </cell>
          <cell r="E103">
            <v>30</v>
          </cell>
          <cell r="F103" t="str">
            <v>M</v>
          </cell>
          <cell r="G103">
            <v>35146</v>
          </cell>
          <cell r="H103">
            <v>1</v>
          </cell>
          <cell r="I103">
            <v>31300</v>
          </cell>
          <cell r="J103">
            <v>500.8</v>
          </cell>
          <cell r="K103">
            <v>500.8</v>
          </cell>
          <cell r="L103">
            <v>500.8</v>
          </cell>
          <cell r="M103">
            <v>20</v>
          </cell>
          <cell r="N103">
            <v>55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T103">
            <v>16.03</v>
          </cell>
          <cell r="U103">
            <v>16.03</v>
          </cell>
          <cell r="W103">
            <v>5259.037312962746</v>
          </cell>
          <cell r="X103">
            <v>0</v>
          </cell>
          <cell r="Y103">
            <v>0</v>
          </cell>
          <cell r="Z103">
            <v>32.06</v>
          </cell>
          <cell r="AB103">
            <v>730.31880392824905</v>
          </cell>
          <cell r="AC103">
            <v>0</v>
          </cell>
          <cell r="AD103">
            <v>0</v>
          </cell>
          <cell r="AE103">
            <v>16.03</v>
          </cell>
          <cell r="AH103">
            <v>91</v>
          </cell>
          <cell r="AI103">
            <v>84</v>
          </cell>
          <cell r="AJ103">
            <v>1</v>
          </cell>
          <cell r="AK103">
            <v>2.3332869135087829E-2</v>
          </cell>
          <cell r="AL103">
            <v>0</v>
          </cell>
          <cell r="AM103">
            <v>0</v>
          </cell>
          <cell r="AN103">
            <v>2.2214509152777673E-2</v>
          </cell>
          <cell r="AO103">
            <v>4.5014107571941298E-2</v>
          </cell>
          <cell r="AP103">
            <v>6.840991790638995E-2</v>
          </cell>
          <cell r="AQ103">
            <v>9.2405144230791547E-2</v>
          </cell>
          <cell r="AR103">
            <v>0.1170047089518666</v>
          </cell>
          <cell r="AS103">
            <v>0.14220678121676855</v>
          </cell>
          <cell r="AT103">
            <v>0.16802036143650945</v>
          </cell>
          <cell r="AU103">
            <v>0.19445658806833926</v>
          </cell>
          <cell r="AW103">
            <v>0</v>
          </cell>
          <cell r="AY103">
            <v>0</v>
          </cell>
          <cell r="AZ103">
            <v>0</v>
          </cell>
          <cell r="BA103">
            <v>1</v>
          </cell>
          <cell r="BC103">
            <v>1.3958267887979594</v>
          </cell>
          <cell r="BD103">
            <v>1.8658172780813556</v>
          </cell>
          <cell r="BE103">
            <v>2.0365023803463234</v>
          </cell>
          <cell r="BF103">
            <v>2.2729114634809875</v>
          </cell>
          <cell r="BG103">
            <v>2.5802087002461431</v>
          </cell>
          <cell r="BH103">
            <v>2.96360106585167</v>
          </cell>
          <cell r="BI103">
            <v>3.4287351908330814</v>
          </cell>
          <cell r="BJ103">
            <v>3.9816019571420043</v>
          </cell>
          <cell r="BL103">
            <v>92.760713361157272</v>
          </cell>
        </row>
        <row r="104">
          <cell r="A104">
            <v>10001252</v>
          </cell>
          <cell r="B104" t="str">
            <v/>
          </cell>
          <cell r="C104" t="str">
            <v>LSPL</v>
          </cell>
          <cell r="D104" t="str">
            <v>USD</v>
          </cell>
          <cell r="E104">
            <v>19</v>
          </cell>
          <cell r="F104" t="str">
            <v>M</v>
          </cell>
          <cell r="G104">
            <v>35152</v>
          </cell>
          <cell r="H104">
            <v>1</v>
          </cell>
          <cell r="I104">
            <v>50000</v>
          </cell>
          <cell r="J104">
            <v>545</v>
          </cell>
          <cell r="K104">
            <v>545</v>
          </cell>
          <cell r="L104">
            <v>545</v>
          </cell>
          <cell r="M104">
            <v>20</v>
          </cell>
          <cell r="N104">
            <v>66</v>
          </cell>
          <cell r="O104">
            <v>50000</v>
          </cell>
          <cell r="P104">
            <v>125</v>
          </cell>
          <cell r="Q104">
            <v>0</v>
          </cell>
          <cell r="R104">
            <v>0</v>
          </cell>
          <cell r="T104">
            <v>0</v>
          </cell>
          <cell r="U104">
            <v>0</v>
          </cell>
          <cell r="W104">
            <v>6381.6979742269232</v>
          </cell>
          <cell r="X104">
            <v>125</v>
          </cell>
          <cell r="Y104">
            <v>0</v>
          </cell>
          <cell r="Z104">
            <v>0</v>
          </cell>
          <cell r="AB104">
            <v>899.79952641060299</v>
          </cell>
          <cell r="AC104">
            <v>125</v>
          </cell>
          <cell r="AD104">
            <v>0</v>
          </cell>
          <cell r="AE104">
            <v>0</v>
          </cell>
          <cell r="AH104">
            <v>91</v>
          </cell>
          <cell r="AI104">
            <v>84</v>
          </cell>
          <cell r="AJ104">
            <v>1</v>
          </cell>
          <cell r="AK104">
            <v>1.7995990528212061E-2</v>
          </cell>
          <cell r="AL104">
            <v>0</v>
          </cell>
          <cell r="AM104">
            <v>0</v>
          </cell>
          <cell r="AN104">
            <v>1.6622462947337824E-2</v>
          </cell>
          <cell r="AO104">
            <v>3.3734556603674609E-2</v>
          </cell>
          <cell r="AP104">
            <v>5.1369712237019027E-2</v>
          </cell>
          <cell r="AQ104">
            <v>6.9561252295498754E-2</v>
          </cell>
          <cell r="AR104">
            <v>8.8324050291888195E-2</v>
          </cell>
          <cell r="AS104">
            <v>0.10768228594305321</v>
          </cell>
          <cell r="AT104">
            <v>0.12763395948453846</v>
          </cell>
          <cell r="AU104">
            <v>0.14817815828877515</v>
          </cell>
          <cell r="AW104">
            <v>0</v>
          </cell>
          <cell r="AY104">
            <v>1</v>
          </cell>
          <cell r="AZ104">
            <v>0</v>
          </cell>
          <cell r="BA104">
            <v>0</v>
          </cell>
          <cell r="BC104">
            <v>1.2103936098215238</v>
          </cell>
          <cell r="BD104">
            <v>1.5129920122769045</v>
          </cell>
          <cell r="BE104">
            <v>1.571530873009459</v>
          </cell>
          <cell r="BF104">
            <v>1.6839060776193262</v>
          </cell>
          <cell r="BG104">
            <v>1.8385301130666152</v>
          </cell>
          <cell r="BH104">
            <v>2.0400165719550452</v>
          </cell>
          <cell r="BI104">
            <v>2.2926947807720817</v>
          </cell>
          <cell r="BJ104">
            <v>2.6010457259231874</v>
          </cell>
          <cell r="BL104">
            <v>102.00082859775226</v>
          </cell>
        </row>
        <row r="105">
          <cell r="A105">
            <v>10001261</v>
          </cell>
          <cell r="B105" t="str">
            <v/>
          </cell>
          <cell r="C105" t="str">
            <v>LSPL</v>
          </cell>
          <cell r="D105" t="str">
            <v>USD</v>
          </cell>
          <cell r="E105">
            <v>37</v>
          </cell>
          <cell r="F105" t="str">
            <v>M</v>
          </cell>
          <cell r="G105">
            <v>35151</v>
          </cell>
          <cell r="H105">
            <v>1</v>
          </cell>
          <cell r="I105">
            <v>25000</v>
          </cell>
          <cell r="J105">
            <v>532.5</v>
          </cell>
          <cell r="K105">
            <v>532.5</v>
          </cell>
          <cell r="L105">
            <v>532.5</v>
          </cell>
          <cell r="M105">
            <v>20</v>
          </cell>
          <cell r="N105">
            <v>48</v>
          </cell>
          <cell r="O105">
            <v>25000</v>
          </cell>
          <cell r="P105">
            <v>62.5</v>
          </cell>
          <cell r="Q105">
            <v>0</v>
          </cell>
          <cell r="R105">
            <v>0</v>
          </cell>
          <cell r="T105">
            <v>23.45</v>
          </cell>
          <cell r="U105">
            <v>23.45</v>
          </cell>
          <cell r="W105">
            <v>4882.6557851499256</v>
          </cell>
          <cell r="X105">
            <v>62.5</v>
          </cell>
          <cell r="Y105">
            <v>0</v>
          </cell>
          <cell r="Z105">
            <v>46.9</v>
          </cell>
          <cell r="AB105">
            <v>698.8152912787051</v>
          </cell>
          <cell r="AC105">
            <v>62.5</v>
          </cell>
          <cell r="AD105">
            <v>0</v>
          </cell>
          <cell r="AE105">
            <v>23.45</v>
          </cell>
          <cell r="AH105">
            <v>91</v>
          </cell>
          <cell r="AI105">
            <v>84</v>
          </cell>
          <cell r="AJ105">
            <v>1</v>
          </cell>
          <cell r="AK105">
            <v>2.7952611651148204E-2</v>
          </cell>
          <cell r="AL105">
            <v>0</v>
          </cell>
          <cell r="AM105">
            <v>0</v>
          </cell>
          <cell r="AN105">
            <v>2.6111286719964377E-2</v>
          </cell>
          <cell r="AO105">
            <v>5.280378655733442E-2</v>
          </cell>
          <cell r="AP105">
            <v>8.0079449424904414E-2</v>
          </cell>
          <cell r="AQ105">
            <v>0.10795213907126777</v>
          </cell>
          <cell r="AR105">
            <v>0.13643831752530117</v>
          </cell>
          <cell r="AS105">
            <v>0.16554884156028971</v>
          </cell>
          <cell r="AT105">
            <v>0.19530623140599701</v>
          </cell>
          <cell r="AU105">
            <v>0.2257361934361698</v>
          </cell>
          <cell r="AW105">
            <v>0</v>
          </cell>
          <cell r="AY105">
            <v>1</v>
          </cell>
          <cell r="AZ105">
            <v>0</v>
          </cell>
          <cell r="BA105">
            <v>1</v>
          </cell>
          <cell r="BC105">
            <v>1.1254498589921822</v>
          </cell>
          <cell r="BD105">
            <v>1.6457013131659723</v>
          </cell>
          <cell r="BE105">
            <v>1.8973208867873341</v>
          </cell>
          <cell r="BF105">
            <v>2.2367917897688336</v>
          </cell>
          <cell r="BG105">
            <v>2.6703088739426994</v>
          </cell>
          <cell r="BH105">
            <v>3.204299990381152</v>
          </cell>
          <cell r="BI105">
            <v>3.8458422842828437</v>
          </cell>
          <cell r="BJ105">
            <v>4.6025988350484477</v>
          </cell>
          <cell r="BL105">
            <v>80.107499759528807</v>
          </cell>
        </row>
        <row r="106">
          <cell r="A106">
            <v>10001431</v>
          </cell>
          <cell r="B106" t="str">
            <v/>
          </cell>
          <cell r="C106" t="str">
            <v>LSPL</v>
          </cell>
          <cell r="D106" t="str">
            <v>USD</v>
          </cell>
          <cell r="E106">
            <v>26</v>
          </cell>
          <cell r="F106" t="str">
            <v>F</v>
          </cell>
          <cell r="G106">
            <v>35213</v>
          </cell>
          <cell r="H106">
            <v>1</v>
          </cell>
          <cell r="I106">
            <v>50000</v>
          </cell>
          <cell r="J106">
            <v>615</v>
          </cell>
          <cell r="K106">
            <v>615</v>
          </cell>
          <cell r="L106">
            <v>615</v>
          </cell>
          <cell r="M106">
            <v>20</v>
          </cell>
          <cell r="N106">
            <v>59</v>
          </cell>
          <cell r="O106">
            <v>50000</v>
          </cell>
          <cell r="P106">
            <v>125</v>
          </cell>
          <cell r="Q106">
            <v>0</v>
          </cell>
          <cell r="R106">
            <v>0</v>
          </cell>
          <cell r="T106">
            <v>17.84</v>
          </cell>
          <cell r="U106">
            <v>17.84</v>
          </cell>
          <cell r="W106">
            <v>7173.8384893335951</v>
          </cell>
          <cell r="X106">
            <v>125</v>
          </cell>
          <cell r="Y106">
            <v>0</v>
          </cell>
          <cell r="Z106">
            <v>35.68</v>
          </cell>
          <cell r="AB106">
            <v>988.67771172864957</v>
          </cell>
          <cell r="AC106">
            <v>125</v>
          </cell>
          <cell r="AD106">
            <v>0</v>
          </cell>
          <cell r="AE106">
            <v>17.84</v>
          </cell>
          <cell r="AH106">
            <v>89</v>
          </cell>
          <cell r="AI106">
            <v>84</v>
          </cell>
          <cell r="AJ106">
            <v>1</v>
          </cell>
          <cell r="AK106">
            <v>1.9773554234572992E-2</v>
          </cell>
          <cell r="AL106">
            <v>0</v>
          </cell>
          <cell r="AM106">
            <v>0</v>
          </cell>
          <cell r="AN106">
            <v>1.891830447820958E-2</v>
          </cell>
          <cell r="AO106">
            <v>3.8340321781045794E-2</v>
          </cell>
          <cell r="AP106">
            <v>5.8282480411312565E-2</v>
          </cell>
          <cell r="AQ106">
            <v>7.8751148032372514E-2</v>
          </cell>
          <cell r="AR106">
            <v>9.9764046266840406E-2</v>
          </cell>
          <cell r="AS106">
            <v>0.12133950895509085</v>
          </cell>
          <cell r="AT106">
            <v>0.1434767697866719</v>
          </cell>
          <cell r="AU106">
            <v>0.16619591967711131</v>
          </cell>
          <cell r="AW106">
            <v>0</v>
          </cell>
          <cell r="AY106">
            <v>1</v>
          </cell>
          <cell r="AZ106">
            <v>0</v>
          </cell>
          <cell r="BA106">
            <v>1</v>
          </cell>
          <cell r="BC106">
            <v>2.0505953080533668</v>
          </cell>
          <cell r="BD106">
            <v>2.6014870048107643</v>
          </cell>
          <cell r="BE106">
            <v>2.7129390814018408</v>
          </cell>
          <cell r="BF106">
            <v>2.8722744205696089</v>
          </cell>
          <cell r="BG106">
            <v>3.0836286974782343</v>
          </cell>
          <cell r="BH106">
            <v>3.3515100742392012</v>
          </cell>
          <cell r="BI106">
            <v>3.6802348543092211</v>
          </cell>
          <cell r="BJ106">
            <v>4.0749241398188021</v>
          </cell>
          <cell r="BL106">
            <v>167.57550371196007</v>
          </cell>
        </row>
        <row r="107">
          <cell r="A107">
            <v>10001470</v>
          </cell>
          <cell r="B107" t="str">
            <v/>
          </cell>
          <cell r="C107" t="str">
            <v>LSPL</v>
          </cell>
          <cell r="D107" t="str">
            <v>USD</v>
          </cell>
          <cell r="E107">
            <v>26</v>
          </cell>
          <cell r="F107" t="str">
            <v>M</v>
          </cell>
          <cell r="G107">
            <v>35231</v>
          </cell>
          <cell r="H107">
            <v>1</v>
          </cell>
          <cell r="I107">
            <v>40000</v>
          </cell>
          <cell r="J107">
            <v>548</v>
          </cell>
          <cell r="K107">
            <v>548</v>
          </cell>
          <cell r="L107">
            <v>548</v>
          </cell>
          <cell r="M107">
            <v>20</v>
          </cell>
          <cell r="N107">
            <v>59</v>
          </cell>
          <cell r="O107">
            <v>40000</v>
          </cell>
          <cell r="P107">
            <v>100</v>
          </cell>
          <cell r="Q107">
            <v>0</v>
          </cell>
          <cell r="R107">
            <v>0</v>
          </cell>
          <cell r="T107">
            <v>15.89</v>
          </cell>
          <cell r="U107">
            <v>15.89</v>
          </cell>
          <cell r="W107">
            <v>6109.8834917132654</v>
          </cell>
          <cell r="X107">
            <v>100</v>
          </cell>
          <cell r="Y107">
            <v>0</v>
          </cell>
          <cell r="Z107">
            <v>31.78</v>
          </cell>
          <cell r="AB107">
            <v>845.4174151678136</v>
          </cell>
          <cell r="AC107">
            <v>100</v>
          </cell>
          <cell r="AD107">
            <v>0</v>
          </cell>
          <cell r="AE107">
            <v>15.89</v>
          </cell>
          <cell r="AH107">
            <v>88</v>
          </cell>
          <cell r="AI107">
            <v>84</v>
          </cell>
          <cell r="AJ107">
            <v>1</v>
          </cell>
          <cell r="AK107">
            <v>2.1135435379195339E-2</v>
          </cell>
          <cell r="AL107">
            <v>0</v>
          </cell>
          <cell r="AM107">
            <v>0</v>
          </cell>
          <cell r="AN107">
            <v>2.0040929842153443E-2</v>
          </cell>
          <cell r="AO107">
            <v>4.0677867639923537E-2</v>
          </cell>
          <cell r="AP107">
            <v>6.1899636226454169E-2</v>
          </cell>
          <cell r="AQ107">
            <v>8.3715037390237779E-2</v>
          </cell>
          <cell r="AR107">
            <v>0.10612488556460895</v>
          </cell>
          <cell r="AS107">
            <v>0.12913145559171524</v>
          </cell>
          <cell r="AT107">
            <v>0.15274708729283162</v>
          </cell>
          <cell r="AU107">
            <v>0.17697709509044307</v>
          </cell>
          <cell r="AW107">
            <v>0</v>
          </cell>
          <cell r="AY107">
            <v>1</v>
          </cell>
          <cell r="AZ107">
            <v>0</v>
          </cell>
          <cell r="BA107">
            <v>1</v>
          </cell>
          <cell r="BC107">
            <v>1.4576215429623065</v>
          </cell>
          <cell r="BD107">
            <v>1.8852847008981422</v>
          </cell>
          <cell r="BE107">
            <v>2.0161535738420131</v>
          </cell>
          <cell r="BF107">
            <v>2.2017422887602485</v>
          </cell>
          <cell r="BG107">
            <v>2.4466808138718399</v>
          </cell>
          <cell r="BH107">
            <v>2.7557954312418382</v>
          </cell>
          <cell r="BI107">
            <v>3.1343929380598015</v>
          </cell>
          <cell r="BJ107">
            <v>3.5878750378814912</v>
          </cell>
          <cell r="BL107">
            <v>110.23181724967354</v>
          </cell>
        </row>
        <row r="108">
          <cell r="A108">
            <v>10001487</v>
          </cell>
          <cell r="B108" t="str">
            <v/>
          </cell>
          <cell r="C108" t="str">
            <v>LSPL</v>
          </cell>
          <cell r="D108" t="str">
            <v>USD</v>
          </cell>
          <cell r="E108">
            <v>43</v>
          </cell>
          <cell r="F108" t="str">
            <v>M</v>
          </cell>
          <cell r="G108">
            <v>35242</v>
          </cell>
          <cell r="H108">
            <v>4</v>
          </cell>
          <cell r="I108">
            <v>65000</v>
          </cell>
          <cell r="J108">
            <v>473.69</v>
          </cell>
          <cell r="K108">
            <v>473.69</v>
          </cell>
          <cell r="L108">
            <v>1894.76</v>
          </cell>
          <cell r="M108">
            <v>20</v>
          </cell>
          <cell r="N108">
            <v>42</v>
          </cell>
          <cell r="O108">
            <v>65000</v>
          </cell>
          <cell r="P108">
            <v>103.36</v>
          </cell>
          <cell r="Q108">
            <v>0</v>
          </cell>
          <cell r="R108">
            <v>0</v>
          </cell>
          <cell r="T108">
            <v>29.85</v>
          </cell>
          <cell r="U108">
            <v>119.4</v>
          </cell>
          <cell r="W108">
            <v>13193.590859314481</v>
          </cell>
          <cell r="X108">
            <v>103.36</v>
          </cell>
          <cell r="Y108">
            <v>0</v>
          </cell>
          <cell r="Z108">
            <v>238.8</v>
          </cell>
          <cell r="AB108">
            <v>2132.9845232562889</v>
          </cell>
          <cell r="AC108">
            <v>103.36</v>
          </cell>
          <cell r="AD108">
            <v>0</v>
          </cell>
          <cell r="AE108">
            <v>119.4</v>
          </cell>
          <cell r="AH108">
            <v>88</v>
          </cell>
          <cell r="AI108">
            <v>84</v>
          </cell>
          <cell r="AJ108">
            <v>2</v>
          </cell>
          <cell r="AK108">
            <v>3.2815146511635217E-2</v>
          </cell>
          <cell r="AL108">
            <v>0</v>
          </cell>
          <cell r="AM108">
            <v>0</v>
          </cell>
          <cell r="AN108">
            <v>2.9476374798574845E-2</v>
          </cell>
          <cell r="AO108">
            <v>5.9556239157455559E-2</v>
          </cell>
          <cell r="AP108">
            <v>9.0253697707252001E-2</v>
          </cell>
          <cell r="AQ108">
            <v>0.12159566144268469</v>
          </cell>
          <cell r="AR108">
            <v>0.15360412178009081</v>
          </cell>
          <cell r="AS108">
            <v>0.18628922657341279</v>
          </cell>
          <cell r="AT108">
            <v>0.21966741525164818</v>
          </cell>
          <cell r="AU108">
            <v>0.25373180589072003</v>
          </cell>
          <cell r="AW108">
            <v>0</v>
          </cell>
          <cell r="AY108">
            <v>1</v>
          </cell>
          <cell r="AZ108">
            <v>0</v>
          </cell>
          <cell r="BA108">
            <v>1</v>
          </cell>
          <cell r="BC108">
            <v>0.53590531360793836</v>
          </cell>
          <cell r="BD108">
            <v>1.0276756411921708</v>
          </cell>
          <cell r="BE108">
            <v>1.3621653210229332</v>
          </cell>
          <cell r="BF108">
            <v>1.8084475635326809</v>
          </cell>
          <cell r="BG108">
            <v>2.3742713009972318</v>
          </cell>
          <cell r="BH108">
            <v>3.0675779395809419</v>
          </cell>
          <cell r="BI108">
            <v>3.8968167294464209</v>
          </cell>
          <cell r="BJ108">
            <v>4.8700204045649338</v>
          </cell>
          <cell r="BL108">
            <v>199.39256607276121</v>
          </cell>
        </row>
        <row r="109">
          <cell r="A109">
            <v>10001504</v>
          </cell>
          <cell r="B109" t="str">
            <v/>
          </cell>
          <cell r="C109" t="str">
            <v>LSPL</v>
          </cell>
          <cell r="D109" t="str">
            <v>USD</v>
          </cell>
          <cell r="E109">
            <v>33</v>
          </cell>
          <cell r="F109" t="str">
            <v>M</v>
          </cell>
          <cell r="G109">
            <v>35237</v>
          </cell>
          <cell r="H109">
            <v>1</v>
          </cell>
          <cell r="I109">
            <v>49500</v>
          </cell>
          <cell r="J109">
            <v>999.9</v>
          </cell>
          <cell r="K109">
            <v>999.9</v>
          </cell>
          <cell r="L109">
            <v>999.9</v>
          </cell>
          <cell r="M109">
            <v>20</v>
          </cell>
          <cell r="N109">
            <v>52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T109">
            <v>36</v>
          </cell>
          <cell r="U109">
            <v>36</v>
          </cell>
          <cell r="W109">
            <v>8893.7101410857777</v>
          </cell>
          <cell r="X109">
            <v>0</v>
          </cell>
          <cell r="Y109">
            <v>0</v>
          </cell>
          <cell r="Z109">
            <v>72</v>
          </cell>
          <cell r="AB109">
            <v>1246.7462962236141</v>
          </cell>
          <cell r="AC109">
            <v>0</v>
          </cell>
          <cell r="AD109">
            <v>0</v>
          </cell>
          <cell r="AE109">
            <v>36</v>
          </cell>
          <cell r="AH109">
            <v>88</v>
          </cell>
          <cell r="AI109">
            <v>84</v>
          </cell>
          <cell r="AJ109">
            <v>1</v>
          </cell>
          <cell r="AK109">
            <v>2.5186793863103314E-2</v>
          </cell>
          <cell r="AL109">
            <v>0</v>
          </cell>
          <cell r="AM109">
            <v>0</v>
          </cell>
          <cell r="AN109">
            <v>2.3878381376159663E-2</v>
          </cell>
          <cell r="AO109">
            <v>4.83493857253669E-2</v>
          </cell>
          <cell r="AP109">
            <v>7.3408732787219433E-2</v>
          </cell>
          <cell r="AQ109">
            <v>9.9063571927305694E-2</v>
          </cell>
          <cell r="AR109">
            <v>0.12532311680267666</v>
          </cell>
          <cell r="AS109">
            <v>0.15219028503569204</v>
          </cell>
          <cell r="AT109">
            <v>0.17967091194112683</v>
          </cell>
          <cell r="AU109">
            <v>0.20778190683522257</v>
          </cell>
          <cell r="AW109">
            <v>0</v>
          </cell>
          <cell r="AY109">
            <v>0</v>
          </cell>
          <cell r="AZ109">
            <v>0</v>
          </cell>
          <cell r="BA109">
            <v>1</v>
          </cell>
          <cell r="BC109">
            <v>1.3192208923997844</v>
          </cell>
          <cell r="BD109">
            <v>1.8181099026305672</v>
          </cell>
          <cell r="BE109">
            <v>2.02186107176867</v>
          </cell>
          <cell r="BF109">
            <v>2.3003235452745354</v>
          </cell>
          <cell r="BG109">
            <v>2.6590380665973221</v>
          </cell>
          <cell r="BH109">
            <v>3.1036568766985173</v>
          </cell>
          <cell r="BI109">
            <v>3.6400964052682454</v>
          </cell>
          <cell r="BJ109">
            <v>4.2748606877344582</v>
          </cell>
          <cell r="BL109">
            <v>153.6310153965766</v>
          </cell>
        </row>
        <row r="110">
          <cell r="A110">
            <v>10001505</v>
          </cell>
          <cell r="B110" t="str">
            <v/>
          </cell>
          <cell r="C110" t="str">
            <v>LSPL</v>
          </cell>
          <cell r="D110" t="str">
            <v>USD</v>
          </cell>
          <cell r="E110">
            <v>27</v>
          </cell>
          <cell r="F110" t="str">
            <v>M</v>
          </cell>
          <cell r="G110">
            <v>35237</v>
          </cell>
          <cell r="H110">
            <v>1</v>
          </cell>
          <cell r="I110">
            <v>50000</v>
          </cell>
          <cell r="J110">
            <v>710</v>
          </cell>
          <cell r="K110">
            <v>710</v>
          </cell>
          <cell r="L110">
            <v>710</v>
          </cell>
          <cell r="M110">
            <v>20</v>
          </cell>
          <cell r="N110">
            <v>58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T110">
            <v>20.59</v>
          </cell>
          <cell r="U110">
            <v>20.59</v>
          </cell>
          <cell r="W110">
            <v>7826.3817334442101</v>
          </cell>
          <cell r="X110">
            <v>0</v>
          </cell>
          <cell r="Y110">
            <v>0</v>
          </cell>
          <cell r="Z110">
            <v>41.18</v>
          </cell>
          <cell r="AB110">
            <v>1082.7789588925937</v>
          </cell>
          <cell r="AC110">
            <v>0</v>
          </cell>
          <cell r="AD110">
            <v>0</v>
          </cell>
          <cell r="AE110">
            <v>20.59</v>
          </cell>
          <cell r="AH110">
            <v>88</v>
          </cell>
          <cell r="AI110">
            <v>84</v>
          </cell>
          <cell r="AJ110">
            <v>1</v>
          </cell>
          <cell r="AK110">
            <v>2.1655579177851873E-2</v>
          </cell>
          <cell r="AL110">
            <v>0</v>
          </cell>
          <cell r="AM110">
            <v>0</v>
          </cell>
          <cell r="AN110">
            <v>2.0586103982012161E-2</v>
          </cell>
          <cell r="AO110">
            <v>4.1755148301839407E-2</v>
          </cell>
          <cell r="AP110">
            <v>6.351567491648652E-2</v>
          </cell>
          <cell r="AQ110">
            <v>8.5868026028784517E-2</v>
          </cell>
          <cell r="AR110">
            <v>0.10881398650458229</v>
          </cell>
          <cell r="AS110">
            <v>0.13236559164240394</v>
          </cell>
          <cell r="AT110">
            <v>0.1565276346688842</v>
          </cell>
          <cell r="AU110">
            <v>0.18130668773991682</v>
          </cell>
          <cell r="AW110">
            <v>0</v>
          </cell>
          <cell r="AY110">
            <v>0</v>
          </cell>
          <cell r="AZ110">
            <v>0</v>
          </cell>
          <cell r="BA110">
            <v>1</v>
          </cell>
          <cell r="BC110">
            <v>1.4448995623505225</v>
          </cell>
          <cell r="BD110">
            <v>1.8831880268170029</v>
          </cell>
          <cell r="BE110">
            <v>2.0235914547990284</v>
          </cell>
          <cell r="BF110">
            <v>2.2212892401910889</v>
          </cell>
          <cell r="BG110">
            <v>2.481002495673799</v>
          </cell>
          <cell r="BH110">
            <v>2.80789377528522</v>
          </cell>
          <cell r="BI110">
            <v>3.2072335893914836</v>
          </cell>
          <cell r="BJ110">
            <v>3.6845709303600778</v>
          </cell>
          <cell r="BL110">
            <v>140.39468876426099</v>
          </cell>
        </row>
        <row r="111">
          <cell r="A111">
            <v>10001506</v>
          </cell>
          <cell r="B111" t="str">
            <v/>
          </cell>
          <cell r="C111" t="str">
            <v>LSPL</v>
          </cell>
          <cell r="D111" t="str">
            <v>USD</v>
          </cell>
          <cell r="E111">
            <v>30</v>
          </cell>
          <cell r="F111" t="str">
            <v>M</v>
          </cell>
          <cell r="G111">
            <v>35237</v>
          </cell>
          <cell r="H111">
            <v>1</v>
          </cell>
          <cell r="I111">
            <v>50000</v>
          </cell>
          <cell r="J111">
            <v>900</v>
          </cell>
          <cell r="K111">
            <v>900</v>
          </cell>
          <cell r="L111">
            <v>900</v>
          </cell>
          <cell r="M111">
            <v>20</v>
          </cell>
          <cell r="N111">
            <v>55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T111">
            <v>28.8</v>
          </cell>
          <cell r="U111">
            <v>28.8</v>
          </cell>
          <cell r="W111">
            <v>8401.0180718254724</v>
          </cell>
          <cell r="X111">
            <v>0</v>
          </cell>
          <cell r="Y111">
            <v>0</v>
          </cell>
          <cell r="Z111">
            <v>57.6</v>
          </cell>
          <cell r="AB111">
            <v>1166.6434567543915</v>
          </cell>
          <cell r="AC111">
            <v>0</v>
          </cell>
          <cell r="AD111">
            <v>0</v>
          </cell>
          <cell r="AE111">
            <v>28.8</v>
          </cell>
          <cell r="AH111">
            <v>88</v>
          </cell>
          <cell r="AI111">
            <v>84</v>
          </cell>
          <cell r="AJ111">
            <v>1</v>
          </cell>
          <cell r="AK111">
            <v>2.3332869135087829E-2</v>
          </cell>
          <cell r="AL111">
            <v>0</v>
          </cell>
          <cell r="AM111">
            <v>0</v>
          </cell>
          <cell r="AN111">
            <v>2.2214509152777673E-2</v>
          </cell>
          <cell r="AO111">
            <v>4.5014107571941298E-2</v>
          </cell>
          <cell r="AP111">
            <v>6.840991790638995E-2</v>
          </cell>
          <cell r="AQ111">
            <v>9.2405144230791547E-2</v>
          </cell>
          <cell r="AR111">
            <v>0.1170047089518666</v>
          </cell>
          <cell r="AS111">
            <v>0.14220678121676855</v>
          </cell>
          <cell r="AT111">
            <v>0.16802036143650945</v>
          </cell>
          <cell r="AU111">
            <v>0.19445658806833926</v>
          </cell>
          <cell r="AW111">
            <v>0</v>
          </cell>
          <cell r="AY111">
            <v>0</v>
          </cell>
          <cell r="AZ111">
            <v>0</v>
          </cell>
          <cell r="BA111">
            <v>1</v>
          </cell>
          <cell r="BC111">
            <v>1.3958267887979594</v>
          </cell>
          <cell r="BD111">
            <v>1.8658172780813556</v>
          </cell>
          <cell r="BE111">
            <v>2.0365023803463234</v>
          </cell>
          <cell r="BF111">
            <v>2.2729114634809875</v>
          </cell>
          <cell r="BG111">
            <v>2.5802087002461431</v>
          </cell>
          <cell r="BH111">
            <v>2.96360106585167</v>
          </cell>
          <cell r="BI111">
            <v>3.4287351908330814</v>
          </cell>
          <cell r="BJ111">
            <v>3.9816019571420043</v>
          </cell>
          <cell r="BL111">
            <v>148.18005329258349</v>
          </cell>
        </row>
        <row r="112">
          <cell r="A112">
            <v>10001585</v>
          </cell>
          <cell r="B112" t="str">
            <v/>
          </cell>
          <cell r="C112" t="str">
            <v>LSPL</v>
          </cell>
          <cell r="D112" t="str">
            <v>USD</v>
          </cell>
          <cell r="E112">
            <v>36</v>
          </cell>
          <cell r="F112" t="str">
            <v>M</v>
          </cell>
          <cell r="G112">
            <v>35274</v>
          </cell>
          <cell r="H112">
            <v>1</v>
          </cell>
          <cell r="I112">
            <v>13612</v>
          </cell>
          <cell r="J112">
            <v>277.69</v>
          </cell>
          <cell r="K112">
            <v>277.69</v>
          </cell>
          <cell r="L112">
            <v>277.69</v>
          </cell>
          <cell r="M112">
            <v>20</v>
          </cell>
          <cell r="N112">
            <v>49</v>
          </cell>
          <cell r="O112">
            <v>13612</v>
          </cell>
          <cell r="P112">
            <v>27.22</v>
          </cell>
          <cell r="Q112">
            <v>0</v>
          </cell>
          <cell r="R112">
            <v>0</v>
          </cell>
          <cell r="T112">
            <v>13.78</v>
          </cell>
          <cell r="U112">
            <v>13.78</v>
          </cell>
          <cell r="W112">
            <v>2605.0252665661878</v>
          </cell>
          <cell r="X112">
            <v>27.22</v>
          </cell>
          <cell r="Y112">
            <v>0</v>
          </cell>
          <cell r="Z112">
            <v>27.56</v>
          </cell>
          <cell r="AB112">
            <v>370.63309704742841</v>
          </cell>
          <cell r="AC112">
            <v>27.22</v>
          </cell>
          <cell r="AD112">
            <v>0</v>
          </cell>
          <cell r="AE112">
            <v>13.78</v>
          </cell>
          <cell r="AH112">
            <v>87</v>
          </cell>
          <cell r="AI112">
            <v>84</v>
          </cell>
          <cell r="AJ112">
            <v>1</v>
          </cell>
          <cell r="AK112">
            <v>2.7228408540069676E-2</v>
          </cell>
          <cell r="AL112">
            <v>0</v>
          </cell>
          <cell r="AM112">
            <v>5.5511151231257827E-17</v>
          </cell>
          <cell r="AN112">
            <v>2.5550811295046494E-2</v>
          </cell>
          <cell r="AO112">
            <v>5.1689175370574936E-2</v>
          </cell>
          <cell r="AP112">
            <v>7.8415221610858843E-2</v>
          </cell>
          <cell r="AQ112">
            <v>0.10573188541914941</v>
          </cell>
          <cell r="AR112">
            <v>0.13365379803236815</v>
          </cell>
          <cell r="AS112">
            <v>0.16219822265924577</v>
          </cell>
          <cell r="AT112">
            <v>0.19137711332399265</v>
          </cell>
          <cell r="AU112">
            <v>0.22121387836377371</v>
          </cell>
          <cell r="AW112">
            <v>0</v>
          </cell>
          <cell r="AY112">
            <v>1</v>
          </cell>
          <cell r="AZ112">
            <v>0</v>
          </cell>
          <cell r="BA112">
            <v>1</v>
          </cell>
          <cell r="BC112">
            <v>1.1892326170191196</v>
          </cell>
          <cell r="BD112">
            <v>1.7073644095925991</v>
          </cell>
          <cell r="BE112">
            <v>1.9466578848633276</v>
          </cell>
          <cell r="BF112">
            <v>2.2703128911567179</v>
          </cell>
          <cell r="BG112">
            <v>2.6842897593952282</v>
          </cell>
          <cell r="BH112">
            <v>3.1949687533465561</v>
          </cell>
          <cell r="BI112">
            <v>3.8089607496142448</v>
          </cell>
          <cell r="BJ112">
            <v>4.5335759000525702</v>
          </cell>
          <cell r="BL112">
            <v>43.489914670553318</v>
          </cell>
        </row>
        <row r="113">
          <cell r="A113">
            <v>10001603</v>
          </cell>
          <cell r="B113" t="str">
            <v/>
          </cell>
          <cell r="C113" t="str">
            <v>LSPL</v>
          </cell>
          <cell r="D113" t="str">
            <v>USD</v>
          </cell>
          <cell r="E113">
            <v>29</v>
          </cell>
          <cell r="F113" t="str">
            <v>M</v>
          </cell>
          <cell r="G113">
            <v>35285</v>
          </cell>
          <cell r="H113">
            <v>1</v>
          </cell>
          <cell r="I113">
            <v>35000</v>
          </cell>
          <cell r="J113">
            <v>535.5</v>
          </cell>
          <cell r="K113">
            <v>535.5</v>
          </cell>
          <cell r="L113">
            <v>535.5</v>
          </cell>
          <cell r="M113">
            <v>20</v>
          </cell>
          <cell r="N113">
            <v>56</v>
          </cell>
          <cell r="O113">
            <v>35000</v>
          </cell>
          <cell r="P113">
            <v>87.5</v>
          </cell>
          <cell r="Q113">
            <v>35000</v>
          </cell>
          <cell r="R113">
            <v>105</v>
          </cell>
          <cell r="T113">
            <v>19.920000000000002</v>
          </cell>
          <cell r="U113">
            <v>19.920000000000002</v>
          </cell>
          <cell r="W113">
            <v>5745.8711776413347</v>
          </cell>
          <cell r="X113">
            <v>87.5</v>
          </cell>
          <cell r="Y113">
            <v>70</v>
          </cell>
          <cell r="Z113">
            <v>39.840000000000003</v>
          </cell>
          <cell r="AB113">
            <v>796.40409958610269</v>
          </cell>
          <cell r="AC113">
            <v>87.5</v>
          </cell>
          <cell r="AD113">
            <v>84</v>
          </cell>
          <cell r="AE113">
            <v>19.920000000000002</v>
          </cell>
          <cell r="AH113">
            <v>86</v>
          </cell>
          <cell r="AI113">
            <v>84</v>
          </cell>
          <cell r="AJ113">
            <v>1</v>
          </cell>
          <cell r="AK113">
            <v>2.2754402845317219E-2</v>
          </cell>
          <cell r="AL113">
            <v>0</v>
          </cell>
          <cell r="AM113">
            <v>0</v>
          </cell>
          <cell r="AN113">
            <v>2.16680680426381E-2</v>
          </cell>
          <cell r="AO113">
            <v>4.3923150508288933E-2</v>
          </cell>
          <cell r="AP113">
            <v>6.6766038562943109E-2</v>
          </cell>
          <cell r="AQ113">
            <v>9.020815945793037E-2</v>
          </cell>
          <cell r="AR113">
            <v>0.11425325193304958</v>
          </cell>
          <cell r="AS113">
            <v>0.1389067930256376</v>
          </cell>
          <cell r="AT113">
            <v>0.16416774793260958</v>
          </cell>
          <cell r="AU113">
            <v>0.19004572377652318</v>
          </cell>
          <cell r="AW113">
            <v>2</v>
          </cell>
          <cell r="AY113">
            <v>1</v>
          </cell>
          <cell r="AZ113">
            <v>0.8</v>
          </cell>
          <cell r="BA113">
            <v>1</v>
          </cell>
          <cell r="BC113">
            <v>1.4145121923304198</v>
          </cell>
          <cell r="BD113">
            <v>1.8741270713319995</v>
          </cell>
          <cell r="BE113">
            <v>2.0343643472921431</v>
          </cell>
          <cell r="BF113">
            <v>2.2574463548938155</v>
          </cell>
          <cell r="BG113">
            <v>2.5484064521832481</v>
          </cell>
          <cell r="BH113">
            <v>2.9125290891622466</v>
          </cell>
          <cell r="BI113">
            <v>3.3551292828481882</v>
          </cell>
          <cell r="BJ113">
            <v>3.8820033914841918</v>
          </cell>
          <cell r="BL113">
            <v>101.93851812067864</v>
          </cell>
        </row>
        <row r="114">
          <cell r="A114">
            <v>10001662</v>
          </cell>
          <cell r="B114" t="str">
            <v/>
          </cell>
          <cell r="C114" t="str">
            <v>LSPL</v>
          </cell>
          <cell r="D114" t="str">
            <v>USD</v>
          </cell>
          <cell r="E114">
            <v>28</v>
          </cell>
          <cell r="F114" t="str">
            <v>M</v>
          </cell>
          <cell r="G114">
            <v>35305</v>
          </cell>
          <cell r="H114">
            <v>1</v>
          </cell>
          <cell r="I114">
            <v>50000</v>
          </cell>
          <cell r="J114">
            <v>735</v>
          </cell>
          <cell r="K114">
            <v>735</v>
          </cell>
          <cell r="L114">
            <v>735</v>
          </cell>
          <cell r="M114">
            <v>20</v>
          </cell>
          <cell r="N114">
            <v>57</v>
          </cell>
          <cell r="O114">
            <v>50000</v>
          </cell>
          <cell r="P114">
            <v>125</v>
          </cell>
          <cell r="Q114">
            <v>0</v>
          </cell>
          <cell r="R114">
            <v>0</v>
          </cell>
          <cell r="T114">
            <v>22.05</v>
          </cell>
          <cell r="U114">
            <v>22.05</v>
          </cell>
          <cell r="W114">
            <v>8016.7414818127572</v>
          </cell>
          <cell r="X114">
            <v>125</v>
          </cell>
          <cell r="Y114">
            <v>0</v>
          </cell>
          <cell r="Z114">
            <v>44.1</v>
          </cell>
          <cell r="AB114">
            <v>1109.7749411285483</v>
          </cell>
          <cell r="AC114">
            <v>125</v>
          </cell>
          <cell r="AD114">
            <v>0</v>
          </cell>
          <cell r="AE114">
            <v>22.05</v>
          </cell>
          <cell r="AH114">
            <v>86</v>
          </cell>
          <cell r="AI114">
            <v>84</v>
          </cell>
          <cell r="AJ114">
            <v>1</v>
          </cell>
          <cell r="AK114">
            <v>2.2195498822570967E-2</v>
          </cell>
          <cell r="AL114">
            <v>0</v>
          </cell>
          <cell r="AM114">
            <v>5.5511151231257827E-17</v>
          </cell>
          <cell r="AN114">
            <v>2.1122205233192748E-2</v>
          </cell>
          <cell r="AO114">
            <v>4.2833900242721878E-2</v>
          </cell>
          <cell r="AP114">
            <v>6.5134950450399132E-2</v>
          </cell>
          <cell r="AQ114">
            <v>8.8026646456851043E-2</v>
          </cell>
          <cell r="AR114">
            <v>0.11152071967797822</v>
          </cell>
          <cell r="AS114">
            <v>0.13562143845815344</v>
          </cell>
          <cell r="AT114">
            <v>0.16033482963625514</v>
          </cell>
          <cell r="AU114">
            <v>0.18566064518828071</v>
          </cell>
          <cell r="AW114">
            <v>0</v>
          </cell>
          <cell r="AY114">
            <v>1</v>
          </cell>
          <cell r="AZ114">
            <v>0</v>
          </cell>
          <cell r="BA114">
            <v>1</v>
          </cell>
          <cell r="BC114">
            <v>1.4306320451765171</v>
          </cell>
          <cell r="BD114">
            <v>1.8796622223046042</v>
          </cell>
          <cell r="BE114">
            <v>2.0298663133565129</v>
          </cell>
          <cell r="BF114">
            <v>2.2400119012489372</v>
          </cell>
          <cell r="BG114">
            <v>2.5151248899327507</v>
          </cell>
          <cell r="BH114">
            <v>2.8603531698954194</v>
          </cell>
          <cell r="BI114">
            <v>3.2811090944978485</v>
          </cell>
          <cell r="BJ114">
            <v>3.782824352082697</v>
          </cell>
          <cell r="BL114">
            <v>143.01765849477096</v>
          </cell>
        </row>
        <row r="115">
          <cell r="A115">
            <v>10001665</v>
          </cell>
          <cell r="B115" t="str">
            <v/>
          </cell>
          <cell r="C115" t="str">
            <v>LSPL</v>
          </cell>
          <cell r="D115" t="str">
            <v>USD</v>
          </cell>
          <cell r="E115">
            <v>36</v>
          </cell>
          <cell r="F115" t="str">
            <v>M</v>
          </cell>
          <cell r="G115">
            <v>35305</v>
          </cell>
          <cell r="H115">
            <v>1</v>
          </cell>
          <cell r="I115">
            <v>75000</v>
          </cell>
          <cell r="J115">
            <v>1530</v>
          </cell>
          <cell r="K115">
            <v>1530</v>
          </cell>
          <cell r="L115">
            <v>1530</v>
          </cell>
          <cell r="M115">
            <v>20</v>
          </cell>
          <cell r="N115">
            <v>49</v>
          </cell>
          <cell r="O115">
            <v>75000</v>
          </cell>
          <cell r="P115">
            <v>187.5</v>
          </cell>
          <cell r="Q115">
            <v>0</v>
          </cell>
          <cell r="R115">
            <v>0</v>
          </cell>
          <cell r="T115">
            <v>62.73</v>
          </cell>
          <cell r="U115">
            <v>62.73</v>
          </cell>
          <cell r="W115">
            <v>14353.283499299449</v>
          </cell>
          <cell r="X115">
            <v>187.5</v>
          </cell>
          <cell r="Y115">
            <v>0</v>
          </cell>
          <cell r="Z115">
            <v>125.46</v>
          </cell>
          <cell r="AB115">
            <v>2042.1306405052258</v>
          </cell>
          <cell r="AC115">
            <v>187.5</v>
          </cell>
          <cell r="AD115">
            <v>0</v>
          </cell>
          <cell r="AE115">
            <v>62.73</v>
          </cell>
          <cell r="AH115">
            <v>86</v>
          </cell>
          <cell r="AI115">
            <v>84</v>
          </cell>
          <cell r="AJ115">
            <v>1</v>
          </cell>
          <cell r="AK115">
            <v>2.7228408540069676E-2</v>
          </cell>
          <cell r="AL115">
            <v>0</v>
          </cell>
          <cell r="AM115">
            <v>5.5511151231257827E-17</v>
          </cell>
          <cell r="AN115">
            <v>2.5550811295046494E-2</v>
          </cell>
          <cell r="AO115">
            <v>5.1689175370574936E-2</v>
          </cell>
          <cell r="AP115">
            <v>7.8415221610858843E-2</v>
          </cell>
          <cell r="AQ115">
            <v>0.10573188541914941</v>
          </cell>
          <cell r="AR115">
            <v>0.13365379803236815</v>
          </cell>
          <cell r="AS115">
            <v>0.16219822265924577</v>
          </cell>
          <cell r="AT115">
            <v>0.19137711332399265</v>
          </cell>
          <cell r="AU115">
            <v>0.22121387836377371</v>
          </cell>
          <cell r="AW115">
            <v>0</v>
          </cell>
          <cell r="AY115">
            <v>1</v>
          </cell>
          <cell r="AZ115">
            <v>0</v>
          </cell>
          <cell r="BA115">
            <v>1</v>
          </cell>
          <cell r="BC115">
            <v>1.1892326170191196</v>
          </cell>
          <cell r="BD115">
            <v>1.7073644095925991</v>
          </cell>
          <cell r="BE115">
            <v>1.9466578848633276</v>
          </cell>
          <cell r="BF115">
            <v>2.2703128911567179</v>
          </cell>
          <cell r="BG115">
            <v>2.6842897593952282</v>
          </cell>
          <cell r="BH115">
            <v>3.1949687533465561</v>
          </cell>
          <cell r="BI115">
            <v>3.8089607496142448</v>
          </cell>
          <cell r="BJ115">
            <v>4.5335759000525702</v>
          </cell>
          <cell r="BL115">
            <v>239.6226565009917</v>
          </cell>
        </row>
        <row r="116">
          <cell r="A116">
            <v>10001910</v>
          </cell>
          <cell r="B116" t="str">
            <v/>
          </cell>
          <cell r="C116" t="str">
            <v>LSPL</v>
          </cell>
          <cell r="D116" t="str">
            <v>USD</v>
          </cell>
          <cell r="E116">
            <v>46</v>
          </cell>
          <cell r="F116" t="str">
            <v>M</v>
          </cell>
          <cell r="G116">
            <v>35400</v>
          </cell>
          <cell r="H116">
            <v>1</v>
          </cell>
          <cell r="I116">
            <v>20000</v>
          </cell>
          <cell r="J116">
            <v>626</v>
          </cell>
          <cell r="K116">
            <v>626</v>
          </cell>
          <cell r="L116">
            <v>626</v>
          </cell>
          <cell r="M116">
            <v>20</v>
          </cell>
          <cell r="N116">
            <v>39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T116">
            <v>50.08</v>
          </cell>
          <cell r="U116">
            <v>50.08</v>
          </cell>
          <cell r="W116">
            <v>3941.9339070095148</v>
          </cell>
          <cell r="X116">
            <v>0</v>
          </cell>
          <cell r="Y116">
            <v>0</v>
          </cell>
          <cell r="Z116">
            <v>100.16</v>
          </cell>
          <cell r="AB116">
            <v>713.10724128916809</v>
          </cell>
          <cell r="AC116">
            <v>0</v>
          </cell>
          <cell r="AD116">
            <v>0</v>
          </cell>
          <cell r="AE116">
            <v>50.08</v>
          </cell>
          <cell r="AH116">
            <v>82</v>
          </cell>
          <cell r="AI116">
            <v>72</v>
          </cell>
          <cell r="AJ116">
            <v>1</v>
          </cell>
          <cell r="AK116">
            <v>3.5655362064458407E-2</v>
          </cell>
          <cell r="AL116">
            <v>0</v>
          </cell>
          <cell r="AM116">
            <v>1.1102230246251565E-16</v>
          </cell>
          <cell r="AN116">
            <v>3.1278856598219273E-2</v>
          </cell>
          <cell r="AO116">
            <v>6.3182106853818809E-2</v>
          </cell>
          <cell r="AP116">
            <v>9.5713810529550858E-2</v>
          </cell>
          <cell r="AQ116">
            <v>0.12888401293086055</v>
          </cell>
          <cell r="AR116">
            <v>0.16267542127199536</v>
          </cell>
          <cell r="AS116">
            <v>0.19709669535047575</v>
          </cell>
          <cell r="AT116">
            <v>0.23214219725478119</v>
          </cell>
          <cell r="AU116">
            <v>0.26783300053588299</v>
          </cell>
          <cell r="AW116">
            <v>0</v>
          </cell>
          <cell r="AY116">
            <v>0</v>
          </cell>
          <cell r="AZ116">
            <v>0</v>
          </cell>
          <cell r="BA116">
            <v>1</v>
          </cell>
          <cell r="BC116">
            <v>0.21716676505468224</v>
          </cell>
          <cell r="BD116">
            <v>0.6996981996890328</v>
          </cell>
          <cell r="BE116">
            <v>1.0834789470263606</v>
          </cell>
          <cell r="BF116">
            <v>1.5927666165356942</v>
          </cell>
          <cell r="BG116">
            <v>2.2349482242841292</v>
          </cell>
          <cell r="BH116">
            <v>3.0179937292558736</v>
          </cell>
          <cell r="BI116">
            <v>3.949668310128386</v>
          </cell>
          <cell r="BJ116">
            <v>5.0385871010119159</v>
          </cell>
          <cell r="BL116">
            <v>44.698964485682581</v>
          </cell>
        </row>
        <row r="117">
          <cell r="A117">
            <v>10001931</v>
          </cell>
          <cell r="B117" t="str">
            <v/>
          </cell>
          <cell r="C117" t="str">
            <v>LSPL</v>
          </cell>
          <cell r="D117" t="str">
            <v>USD</v>
          </cell>
          <cell r="E117">
            <v>35</v>
          </cell>
          <cell r="F117" t="str">
            <v>M</v>
          </cell>
          <cell r="G117">
            <v>35415</v>
          </cell>
          <cell r="H117">
            <v>1</v>
          </cell>
          <cell r="I117">
            <v>50000</v>
          </cell>
          <cell r="J117">
            <v>1100</v>
          </cell>
          <cell r="K117">
            <v>1100</v>
          </cell>
          <cell r="L117">
            <v>1100</v>
          </cell>
          <cell r="M117">
            <v>20</v>
          </cell>
          <cell r="N117">
            <v>50</v>
          </cell>
          <cell r="O117">
            <v>50000</v>
          </cell>
          <cell r="P117">
            <v>125</v>
          </cell>
          <cell r="Q117">
            <v>0</v>
          </cell>
          <cell r="R117">
            <v>0</v>
          </cell>
          <cell r="T117">
            <v>42.9</v>
          </cell>
          <cell r="U117">
            <v>42.9</v>
          </cell>
          <cell r="W117">
            <v>7942.7566841633907</v>
          </cell>
          <cell r="X117">
            <v>125</v>
          </cell>
          <cell r="Y117">
            <v>0</v>
          </cell>
          <cell r="Z117">
            <v>85.8</v>
          </cell>
          <cell r="AB117">
            <v>1326.3221867057598</v>
          </cell>
          <cell r="AC117">
            <v>125</v>
          </cell>
          <cell r="AD117">
            <v>0</v>
          </cell>
          <cell r="AE117">
            <v>42.9</v>
          </cell>
          <cell r="AH117">
            <v>82</v>
          </cell>
          <cell r="AI117">
            <v>72</v>
          </cell>
          <cell r="AJ117">
            <v>1</v>
          </cell>
          <cell r="AK117">
            <v>2.6526443734115196E-2</v>
          </cell>
          <cell r="AL117">
            <v>0</v>
          </cell>
          <cell r="AM117">
            <v>0</v>
          </cell>
          <cell r="AN117">
            <v>2.4993906800580779E-2</v>
          </cell>
          <cell r="AO117">
            <v>5.0573087161432162E-2</v>
          </cell>
          <cell r="AP117">
            <v>7.6745445789891675E-2</v>
          </cell>
          <cell r="AQ117">
            <v>0.10351205143507852</v>
          </cell>
          <cell r="AR117">
            <v>0.13087681575597815</v>
          </cell>
          <cell r="AS117">
            <v>0.15885513368326781</v>
          </cell>
          <cell r="AT117">
            <v>0.18746506619193337</v>
          </cell>
          <cell r="AU117">
            <v>0.21671965666537613</v>
          </cell>
          <cell r="AW117">
            <v>0</v>
          </cell>
          <cell r="AY117">
            <v>1</v>
          </cell>
          <cell r="AZ117">
            <v>0</v>
          </cell>
          <cell r="BA117">
            <v>1</v>
          </cell>
          <cell r="BC117">
            <v>1.2452979135180227</v>
          </cell>
          <cell r="BD117">
            <v>1.7598120773292205</v>
          </cell>
          <cell r="BE117">
            <v>1.9870084369136172</v>
          </cell>
          <cell r="BF117">
            <v>2.2953215951388923</v>
          </cell>
          <cell r="BG117">
            <v>2.6903883931872956</v>
          </cell>
          <cell r="BH117">
            <v>3.1783420098273174</v>
          </cell>
          <cell r="BI117">
            <v>3.765756511746404</v>
          </cell>
          <cell r="BJ117">
            <v>4.4594354537268774</v>
          </cell>
          <cell r="BL117">
            <v>134.51941965936479</v>
          </cell>
        </row>
        <row r="118">
          <cell r="A118">
            <v>10001977</v>
          </cell>
          <cell r="B118" t="str">
            <v/>
          </cell>
          <cell r="C118" t="str">
            <v>LSPL</v>
          </cell>
          <cell r="D118" t="str">
            <v>USD</v>
          </cell>
          <cell r="E118">
            <v>34</v>
          </cell>
          <cell r="F118" t="str">
            <v>F</v>
          </cell>
          <cell r="G118">
            <v>35400</v>
          </cell>
          <cell r="H118">
            <v>1</v>
          </cell>
          <cell r="I118">
            <v>30000</v>
          </cell>
          <cell r="J118">
            <v>507</v>
          </cell>
          <cell r="K118">
            <v>507</v>
          </cell>
          <cell r="L118">
            <v>507</v>
          </cell>
          <cell r="M118">
            <v>20</v>
          </cell>
          <cell r="N118">
            <v>51</v>
          </cell>
          <cell r="O118">
            <v>30000</v>
          </cell>
          <cell r="P118">
            <v>75</v>
          </cell>
          <cell r="Q118">
            <v>0</v>
          </cell>
          <cell r="R118">
            <v>0</v>
          </cell>
          <cell r="T118">
            <v>18.760000000000002</v>
          </cell>
          <cell r="U118">
            <v>18.760000000000002</v>
          </cell>
          <cell r="W118">
            <v>4371.1208023388335</v>
          </cell>
          <cell r="X118">
            <v>75</v>
          </cell>
          <cell r="Y118">
            <v>0</v>
          </cell>
          <cell r="Z118">
            <v>37.520000000000003</v>
          </cell>
          <cell r="AB118">
            <v>725.06312130793344</v>
          </cell>
          <cell r="AC118">
            <v>75</v>
          </cell>
          <cell r="AD118">
            <v>0</v>
          </cell>
          <cell r="AE118">
            <v>18.760000000000002</v>
          </cell>
          <cell r="AH118">
            <v>82</v>
          </cell>
          <cell r="AI118">
            <v>72</v>
          </cell>
          <cell r="AJ118">
            <v>1</v>
          </cell>
          <cell r="AK118">
            <v>2.4168770710264447E-2</v>
          </cell>
          <cell r="AL118">
            <v>0</v>
          </cell>
          <cell r="AM118">
            <v>0</v>
          </cell>
          <cell r="AN118">
            <v>2.2923226813216346E-2</v>
          </cell>
          <cell r="AO118">
            <v>4.6391124078071833E-2</v>
          </cell>
          <cell r="AP118">
            <v>7.0404984730598363E-2</v>
          </cell>
          <cell r="AQ118">
            <v>9.4957632436138806E-2</v>
          </cell>
          <cell r="AR118">
            <v>0.12005468513286383</v>
          </cell>
          <cell r="AS118">
            <v>0.14570402674462779</v>
          </cell>
          <cell r="AT118">
            <v>0.17192551382236484</v>
          </cell>
          <cell r="AU118">
            <v>0.19874096263623103</v>
          </cell>
          <cell r="AW118">
            <v>0</v>
          </cell>
          <cell r="AY118">
            <v>1</v>
          </cell>
          <cell r="AZ118">
            <v>0</v>
          </cell>
          <cell r="BA118">
            <v>1</v>
          </cell>
          <cell r="BC118">
            <v>2.0118447139714855</v>
          </cell>
          <cell r="BD118">
            <v>2.6551895521738795</v>
          </cell>
          <cell r="BE118">
            <v>2.8377633714296904</v>
          </cell>
          <cell r="BF118">
            <v>3.0878427473414019</v>
          </cell>
          <cell r="BG118">
            <v>3.409979808805105</v>
          </cell>
          <cell r="BH118">
            <v>3.8089437821402194</v>
          </cell>
          <cell r="BI118">
            <v>4.2900483703435421</v>
          </cell>
          <cell r="BJ118">
            <v>4.859040755803604</v>
          </cell>
          <cell r="BL118">
            <v>102.29939426415315</v>
          </cell>
        </row>
        <row r="119">
          <cell r="A119">
            <v>10002045</v>
          </cell>
          <cell r="B119" t="str">
            <v/>
          </cell>
          <cell r="C119" t="str">
            <v>LSPL</v>
          </cell>
          <cell r="D119" t="str">
            <v>USD</v>
          </cell>
          <cell r="E119">
            <v>27</v>
          </cell>
          <cell r="F119" t="str">
            <v>M</v>
          </cell>
          <cell r="G119">
            <v>35495</v>
          </cell>
          <cell r="H119">
            <v>1</v>
          </cell>
          <cell r="I119">
            <v>20000</v>
          </cell>
          <cell r="J119">
            <v>288.14999999999998</v>
          </cell>
          <cell r="K119">
            <v>288.14999999999998</v>
          </cell>
          <cell r="L119">
            <v>288.14999999999998</v>
          </cell>
          <cell r="M119">
            <v>20</v>
          </cell>
          <cell r="N119">
            <v>58</v>
          </cell>
          <cell r="O119">
            <v>20000</v>
          </cell>
          <cell r="P119">
            <v>50.73</v>
          </cell>
          <cell r="Q119">
            <v>0</v>
          </cell>
          <cell r="R119">
            <v>0</v>
          </cell>
          <cell r="T119">
            <v>8.3699999999999992</v>
          </cell>
          <cell r="U119">
            <v>8.3699999999999992</v>
          </cell>
          <cell r="W119">
            <v>2647.3118328480787</v>
          </cell>
          <cell r="X119">
            <v>50.73</v>
          </cell>
          <cell r="Y119">
            <v>0</v>
          </cell>
          <cell r="Z119">
            <v>16.739999999999998</v>
          </cell>
          <cell r="AB119">
            <v>433.11158355703748</v>
          </cell>
          <cell r="AC119">
            <v>50.73</v>
          </cell>
          <cell r="AD119">
            <v>0</v>
          </cell>
          <cell r="AE119">
            <v>8.3699999999999992</v>
          </cell>
          <cell r="AH119">
            <v>79</v>
          </cell>
          <cell r="AI119">
            <v>72</v>
          </cell>
          <cell r="AJ119">
            <v>1</v>
          </cell>
          <cell r="AK119">
            <v>2.1655579177851873E-2</v>
          </cell>
          <cell r="AL119">
            <v>0</v>
          </cell>
          <cell r="AM119">
            <v>0</v>
          </cell>
          <cell r="AN119">
            <v>2.0586103982012161E-2</v>
          </cell>
          <cell r="AO119">
            <v>4.1755148301839407E-2</v>
          </cell>
          <cell r="AP119">
            <v>6.351567491648652E-2</v>
          </cell>
          <cell r="AQ119">
            <v>8.5868026028784517E-2</v>
          </cell>
          <cell r="AR119">
            <v>0.10881398650458229</v>
          </cell>
          <cell r="AS119">
            <v>0.13236559164240394</v>
          </cell>
          <cell r="AT119">
            <v>0.1565276346688842</v>
          </cell>
          <cell r="AU119">
            <v>0.18130668773991682</v>
          </cell>
          <cell r="AW119">
            <v>0</v>
          </cell>
          <cell r="AY119">
            <v>1</v>
          </cell>
          <cell r="AZ119">
            <v>0</v>
          </cell>
          <cell r="BA119">
            <v>1</v>
          </cell>
          <cell r="BC119">
            <v>1.4448995623505225</v>
          </cell>
          <cell r="BD119">
            <v>1.8831880268170029</v>
          </cell>
          <cell r="BE119">
            <v>2.0235914547990284</v>
          </cell>
          <cell r="BF119">
            <v>2.2212892401910889</v>
          </cell>
          <cell r="BG119">
            <v>2.481002495673799</v>
          </cell>
          <cell r="BH119">
            <v>2.80789377528522</v>
          </cell>
          <cell r="BI119">
            <v>3.2072335893914836</v>
          </cell>
          <cell r="BJ119">
            <v>3.6845709303600778</v>
          </cell>
          <cell r="BL119">
            <v>49.620049913475981</v>
          </cell>
        </row>
        <row r="120">
          <cell r="A120">
            <v>10002096</v>
          </cell>
          <cell r="B120" t="str">
            <v/>
          </cell>
          <cell r="C120" t="str">
            <v>LSPL</v>
          </cell>
          <cell r="D120" t="str">
            <v>USD</v>
          </cell>
          <cell r="E120">
            <v>29</v>
          </cell>
          <cell r="F120" t="str">
            <v>F</v>
          </cell>
          <cell r="G120">
            <v>35513</v>
          </cell>
          <cell r="H120">
            <v>1</v>
          </cell>
          <cell r="I120">
            <v>50000</v>
          </cell>
          <cell r="J120">
            <v>775</v>
          </cell>
          <cell r="K120">
            <v>775</v>
          </cell>
          <cell r="L120">
            <v>775</v>
          </cell>
          <cell r="M120">
            <v>20</v>
          </cell>
          <cell r="N120">
            <v>56</v>
          </cell>
          <cell r="O120">
            <v>50000</v>
          </cell>
          <cell r="P120">
            <v>75</v>
          </cell>
          <cell r="Q120">
            <v>0</v>
          </cell>
          <cell r="R120">
            <v>0</v>
          </cell>
          <cell r="T120">
            <v>24.03</v>
          </cell>
          <cell r="U120">
            <v>24.03</v>
          </cell>
          <cell r="W120">
            <v>6516.645076814616</v>
          </cell>
          <cell r="X120">
            <v>75</v>
          </cell>
          <cell r="Y120">
            <v>0</v>
          </cell>
          <cell r="Z120">
            <v>48.06</v>
          </cell>
          <cell r="AB120">
            <v>1064.9586032409445</v>
          </cell>
          <cell r="AC120">
            <v>75</v>
          </cell>
          <cell r="AD120">
            <v>0</v>
          </cell>
          <cell r="AE120">
            <v>24.03</v>
          </cell>
          <cell r="AH120">
            <v>79</v>
          </cell>
          <cell r="AI120">
            <v>72</v>
          </cell>
          <cell r="AJ120">
            <v>1</v>
          </cell>
          <cell r="AK120">
            <v>2.1299172064818888E-2</v>
          </cell>
          <cell r="AL120">
            <v>0</v>
          </cell>
          <cell r="AM120">
            <v>0</v>
          </cell>
          <cell r="AN120">
            <v>2.0341447246738698E-2</v>
          </cell>
          <cell r="AO120">
            <v>4.1220048682123367E-2</v>
          </cell>
          <cell r="AP120">
            <v>6.2653915762079071E-2</v>
          </cell>
          <cell r="AQ120">
            <v>8.4640696415489491E-2</v>
          </cell>
          <cell r="AR120">
            <v>0.10720019602645983</v>
          </cell>
          <cell r="AS120">
            <v>0.13033290153629232</v>
          </cell>
          <cell r="AT120">
            <v>0.15403134322651477</v>
          </cell>
          <cell r="AU120">
            <v>0.17829999264526775</v>
          </cell>
          <cell r="AW120">
            <v>0</v>
          </cell>
          <cell r="AY120">
            <v>1</v>
          </cell>
          <cell r="AZ120">
            <v>0</v>
          </cell>
          <cell r="BA120">
            <v>1</v>
          </cell>
          <cell r="BC120">
            <v>2.055008522669465</v>
          </cell>
          <cell r="BD120">
            <v>2.6409430355855235</v>
          </cell>
          <cell r="BE120">
            <v>2.7766338641584802</v>
          </cell>
          <cell r="BF120">
            <v>2.9673944028855734</v>
          </cell>
          <cell r="BG120">
            <v>3.2178845467460473</v>
          </cell>
          <cell r="BH120">
            <v>3.5326599944768486</v>
          </cell>
          <cell r="BI120">
            <v>3.916157361372461</v>
          </cell>
          <cell r="BJ120">
            <v>4.3732003077403752</v>
          </cell>
          <cell r="BL120">
            <v>160.89422733730237</v>
          </cell>
        </row>
        <row r="121">
          <cell r="A121">
            <v>10002229</v>
          </cell>
          <cell r="B121" t="str">
            <v/>
          </cell>
          <cell r="C121" t="str">
            <v>LSPL</v>
          </cell>
          <cell r="D121" t="str">
            <v>USD</v>
          </cell>
          <cell r="E121">
            <v>18</v>
          </cell>
          <cell r="F121" t="str">
            <v>F</v>
          </cell>
          <cell r="G121">
            <v>35598</v>
          </cell>
          <cell r="H121">
            <v>1</v>
          </cell>
          <cell r="I121">
            <v>55000</v>
          </cell>
          <cell r="J121">
            <v>506</v>
          </cell>
          <cell r="K121">
            <v>506</v>
          </cell>
          <cell r="L121">
            <v>506</v>
          </cell>
          <cell r="M121">
            <v>20</v>
          </cell>
          <cell r="N121">
            <v>67</v>
          </cell>
          <cell r="O121">
            <v>55000</v>
          </cell>
          <cell r="P121">
            <v>137.5</v>
          </cell>
          <cell r="Q121">
            <v>0</v>
          </cell>
          <cell r="R121">
            <v>0</v>
          </cell>
          <cell r="T121">
            <v>0</v>
          </cell>
          <cell r="U121">
            <v>0</v>
          </cell>
          <cell r="W121">
            <v>5502.3850241548607</v>
          </cell>
          <cell r="X121">
            <v>137.5</v>
          </cell>
          <cell r="Y121">
            <v>0</v>
          </cell>
          <cell r="Z121">
            <v>0</v>
          </cell>
          <cell r="AB121">
            <v>896.28507367270572</v>
          </cell>
          <cell r="AC121">
            <v>137.5</v>
          </cell>
          <cell r="AD121">
            <v>0</v>
          </cell>
          <cell r="AE121">
            <v>0</v>
          </cell>
          <cell r="AH121">
            <v>76</v>
          </cell>
          <cell r="AI121">
            <v>72</v>
          </cell>
          <cell r="AJ121">
            <v>1</v>
          </cell>
          <cell r="AK121">
            <v>1.629609224859465E-2</v>
          </cell>
          <cell r="AL121">
            <v>0</v>
          </cell>
          <cell r="AM121">
            <v>2.7755575615628914E-17</v>
          </cell>
          <cell r="AN121">
            <v>1.5578187148107936E-2</v>
          </cell>
          <cell r="AO121">
            <v>3.1570306283471544E-2</v>
          </cell>
          <cell r="AP121">
            <v>4.8000340915114681E-2</v>
          </cell>
          <cell r="AQ121">
            <v>6.4881660376087141E-2</v>
          </cell>
          <cell r="AR121">
            <v>8.222805055097035E-2</v>
          </cell>
          <cell r="AS121">
            <v>0.10004336407554293</v>
          </cell>
          <cell r="AT121">
            <v>0.11835253470850168</v>
          </cell>
          <cell r="AU121">
            <v>0.13716074602793496</v>
          </cell>
          <cell r="AW121">
            <v>0</v>
          </cell>
          <cell r="AY121">
            <v>1</v>
          </cell>
          <cell r="AZ121">
            <v>0</v>
          </cell>
          <cell r="BA121">
            <v>0</v>
          </cell>
          <cell r="BC121">
            <v>1.5948604616553412</v>
          </cell>
          <cell r="BD121">
            <v>1.9935755770691763</v>
          </cell>
          <cell r="BE121">
            <v>2.0256680341874782</v>
          </cell>
          <cell r="BF121">
            <v>2.1211721292260326</v>
          </cell>
          <cell r="BG121">
            <v>2.2527896402121228</v>
          </cell>
          <cell r="BH121">
            <v>2.4234926642706731</v>
          </cell>
          <cell r="BI121">
            <v>2.6369936797113551</v>
          </cell>
          <cell r="BJ121">
            <v>2.8967850648241651</v>
          </cell>
          <cell r="BL121">
            <v>123.90343021166676</v>
          </cell>
        </row>
        <row r="122">
          <cell r="A122">
            <v>10002230</v>
          </cell>
          <cell r="B122" t="str">
            <v/>
          </cell>
          <cell r="C122" t="str">
            <v>LSPL</v>
          </cell>
          <cell r="D122" t="str">
            <v>USD</v>
          </cell>
          <cell r="E122">
            <v>15</v>
          </cell>
          <cell r="F122" t="str">
            <v>M</v>
          </cell>
          <cell r="G122">
            <v>35598</v>
          </cell>
          <cell r="H122">
            <v>1</v>
          </cell>
          <cell r="I122">
            <v>52500</v>
          </cell>
          <cell r="J122">
            <v>504</v>
          </cell>
          <cell r="K122">
            <v>504</v>
          </cell>
          <cell r="L122">
            <v>504</v>
          </cell>
          <cell r="M122">
            <v>20</v>
          </cell>
          <cell r="N122">
            <v>70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T122">
            <v>0</v>
          </cell>
          <cell r="U122">
            <v>0</v>
          </cell>
          <cell r="W122">
            <v>5137.436644192524</v>
          </cell>
          <cell r="X122">
            <v>0</v>
          </cell>
          <cell r="Y122">
            <v>0</v>
          </cell>
          <cell r="Z122">
            <v>0</v>
          </cell>
          <cell r="AB122">
            <v>864.48817528672441</v>
          </cell>
          <cell r="AC122">
            <v>0</v>
          </cell>
          <cell r="AD122">
            <v>0</v>
          </cell>
          <cell r="AE122">
            <v>0</v>
          </cell>
          <cell r="AH122">
            <v>76</v>
          </cell>
          <cell r="AI122">
            <v>72</v>
          </cell>
          <cell r="AJ122">
            <v>1</v>
          </cell>
          <cell r="AK122">
            <v>1.6466441434032846E-2</v>
          </cell>
          <cell r="AL122">
            <v>0</v>
          </cell>
          <cell r="AM122">
            <v>0</v>
          </cell>
          <cell r="AN122">
            <v>1.53536809261412E-2</v>
          </cell>
          <cell r="AO122">
            <v>3.1028544822172932E-2</v>
          </cell>
          <cell r="AP122">
            <v>4.7066759881235237E-2</v>
          </cell>
          <cell r="AQ122">
            <v>6.3519781540734566E-2</v>
          </cell>
          <cell r="AR122">
            <v>8.0438677594002056E-2</v>
          </cell>
          <cell r="AS122">
            <v>9.7855936079857597E-2</v>
          </cell>
          <cell r="AT122">
            <v>0.11580395432966226</v>
          </cell>
          <cell r="AU122">
            <v>0.13431497119419414</v>
          </cell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C122">
            <v>1.0735350998576236</v>
          </cell>
          <cell r="BD122">
            <v>1.3419188748220297</v>
          </cell>
          <cell r="BE122">
            <v>1.3642929611591104</v>
          </cell>
          <cell r="BF122">
            <v>1.4512099124463893</v>
          </cell>
          <cell r="BG122">
            <v>1.5716361881228746</v>
          </cell>
          <cell r="BH122">
            <v>1.729095281220141</v>
          </cell>
          <cell r="BI122">
            <v>1.92764300029592</v>
          </cell>
          <cell r="BJ122">
            <v>2.1719054120860881</v>
          </cell>
          <cell r="BL122">
            <v>82.510899876450921</v>
          </cell>
        </row>
        <row r="123">
          <cell r="A123">
            <v>10002235</v>
          </cell>
          <cell r="B123" t="str">
            <v/>
          </cell>
          <cell r="C123" t="str">
            <v>LSPL</v>
          </cell>
          <cell r="D123" t="str">
            <v>USD</v>
          </cell>
          <cell r="E123">
            <v>37</v>
          </cell>
          <cell r="F123" t="str">
            <v>M</v>
          </cell>
          <cell r="G123">
            <v>35606</v>
          </cell>
          <cell r="H123">
            <v>1</v>
          </cell>
          <cell r="I123">
            <v>50000</v>
          </cell>
          <cell r="J123">
            <v>1195</v>
          </cell>
          <cell r="K123">
            <v>1195</v>
          </cell>
          <cell r="L123">
            <v>1195</v>
          </cell>
          <cell r="M123">
            <v>20</v>
          </cell>
          <cell r="N123">
            <v>48</v>
          </cell>
          <cell r="O123">
            <v>50000</v>
          </cell>
          <cell r="P123">
            <v>125</v>
          </cell>
          <cell r="Q123">
            <v>0</v>
          </cell>
          <cell r="R123">
            <v>0</v>
          </cell>
          <cell r="T123">
            <v>52.58</v>
          </cell>
          <cell r="U123">
            <v>52.58</v>
          </cell>
          <cell r="W123">
            <v>8277.4420780144847</v>
          </cell>
          <cell r="X123">
            <v>125</v>
          </cell>
          <cell r="Y123">
            <v>0</v>
          </cell>
          <cell r="Z123">
            <v>105.16</v>
          </cell>
          <cell r="AB123">
            <v>1397.6305825574102</v>
          </cell>
          <cell r="AC123">
            <v>125</v>
          </cell>
          <cell r="AD123">
            <v>0</v>
          </cell>
          <cell r="AE123">
            <v>52.58</v>
          </cell>
          <cell r="AH123">
            <v>76</v>
          </cell>
          <cell r="AI123">
            <v>72</v>
          </cell>
          <cell r="AJ123">
            <v>1</v>
          </cell>
          <cell r="AK123">
            <v>2.7952611651148204E-2</v>
          </cell>
          <cell r="AL123">
            <v>0</v>
          </cell>
          <cell r="AM123">
            <v>0</v>
          </cell>
          <cell r="AN123">
            <v>2.6111286719964377E-2</v>
          </cell>
          <cell r="AO123">
            <v>5.280378655733442E-2</v>
          </cell>
          <cell r="AP123">
            <v>8.0079449424904414E-2</v>
          </cell>
          <cell r="AQ123">
            <v>0.10795213907126777</v>
          </cell>
          <cell r="AR123">
            <v>0.13643831752530117</v>
          </cell>
          <cell r="AS123">
            <v>0.16554884156028971</v>
          </cell>
          <cell r="AT123">
            <v>0.19530623140599701</v>
          </cell>
          <cell r="AU123">
            <v>0.2257361934361698</v>
          </cell>
          <cell r="AW123">
            <v>0</v>
          </cell>
          <cell r="AY123">
            <v>1</v>
          </cell>
          <cell r="AZ123">
            <v>0</v>
          </cell>
          <cell r="BA123">
            <v>1</v>
          </cell>
          <cell r="BC123">
            <v>1.1254498589921822</v>
          </cell>
          <cell r="BD123">
            <v>1.6457013131659723</v>
          </cell>
          <cell r="BE123">
            <v>1.8973208867873341</v>
          </cell>
          <cell r="BF123">
            <v>2.2367917897688336</v>
          </cell>
          <cell r="BG123">
            <v>2.6703088739426994</v>
          </cell>
          <cell r="BH123">
            <v>3.204299990381152</v>
          </cell>
          <cell r="BI123">
            <v>3.8458422842828437</v>
          </cell>
          <cell r="BJ123">
            <v>4.6025988350484477</v>
          </cell>
          <cell r="BL123">
            <v>133.51544369713497</v>
          </cell>
        </row>
        <row r="124">
          <cell r="A124">
            <v>10001512</v>
          </cell>
          <cell r="B124">
            <v>0</v>
          </cell>
          <cell r="C124" t="str">
            <v>LSG</v>
          </cell>
          <cell r="D124" t="str">
            <v>RPH</v>
          </cell>
          <cell r="E124">
            <v>36</v>
          </cell>
          <cell r="F124" t="str">
            <v>M</v>
          </cell>
          <cell r="G124">
            <v>35142</v>
          </cell>
          <cell r="H124">
            <v>4</v>
          </cell>
          <cell r="I124">
            <v>100000000</v>
          </cell>
          <cell r="J124">
            <v>2421400</v>
          </cell>
          <cell r="K124">
            <v>239100</v>
          </cell>
          <cell r="L124">
            <v>956400</v>
          </cell>
          <cell r="M124">
            <v>20</v>
          </cell>
          <cell r="N124">
            <v>49</v>
          </cell>
          <cell r="O124">
            <v>100000000</v>
          </cell>
          <cell r="P124">
            <v>159200</v>
          </cell>
          <cell r="Q124">
            <v>0</v>
          </cell>
          <cell r="R124">
            <v>0</v>
          </cell>
          <cell r="T124">
            <v>105700</v>
          </cell>
          <cell r="U124">
            <v>62800</v>
          </cell>
          <cell r="W124">
            <v>5571962.941069114</v>
          </cell>
          <cell r="X124">
            <v>159200</v>
          </cell>
          <cell r="Y124">
            <v>0</v>
          </cell>
          <cell r="Z124">
            <v>125600</v>
          </cell>
          <cell r="AB124">
            <v>856692.01974097383</v>
          </cell>
          <cell r="AC124">
            <v>159200</v>
          </cell>
          <cell r="AD124">
            <v>0</v>
          </cell>
          <cell r="AE124">
            <v>62800</v>
          </cell>
          <cell r="AH124">
            <v>91</v>
          </cell>
          <cell r="AI124">
            <v>84</v>
          </cell>
          <cell r="AJ124">
            <v>3</v>
          </cell>
          <cell r="AK124">
            <v>8.5669201974097383E-3</v>
          </cell>
          <cell r="AL124">
            <v>0</v>
          </cell>
          <cell r="AM124">
            <v>1.3877787807814457E-17</v>
          </cell>
          <cell r="AN124">
            <v>6.8650369572001158E-3</v>
          </cell>
          <cell r="AO124">
            <v>1.4178832569811756E-2</v>
          </cell>
          <cell r="AP124">
            <v>2.1956544495307803E-2</v>
          </cell>
          <cell r="AQ124">
            <v>3.0215756146925038E-2</v>
          </cell>
          <cell r="AR124">
            <v>3.8986450877325343E-2</v>
          </cell>
          <cell r="AS124">
            <v>4.8302376287487792E-2</v>
          </cell>
          <cell r="AT124">
            <v>5.8192047118425586E-2</v>
          </cell>
          <cell r="AU124">
            <v>6.8697482372227128E-2</v>
          </cell>
          <cell r="AW124">
            <v>0</v>
          </cell>
          <cell r="AY124">
            <v>1</v>
          </cell>
          <cell r="AZ124">
            <v>0</v>
          </cell>
          <cell r="BA124">
            <v>1</v>
          </cell>
          <cell r="BC124">
            <v>0.26035396079201234</v>
          </cell>
          <cell r="BD124">
            <v>0.3254424509900154</v>
          </cell>
          <cell r="BE124">
            <v>0.51076499926717378</v>
          </cell>
          <cell r="BF124">
            <v>0.78523369259151043</v>
          </cell>
          <cell r="BG124">
            <v>1.1575789425551009</v>
          </cell>
          <cell r="BH124">
            <v>1.6374124869819597</v>
          </cell>
          <cell r="BI124">
            <v>2.2349042045939576</v>
          </cell>
          <cell r="BJ124">
            <v>2.9616745989892173</v>
          </cell>
          <cell r="BL124">
            <v>163741.24869819597</v>
          </cell>
        </row>
        <row r="125">
          <cell r="A125">
            <v>10001512</v>
          </cell>
          <cell r="B125">
            <v>1</v>
          </cell>
          <cell r="C125" t="str">
            <v>SSG</v>
          </cell>
          <cell r="D125" t="str">
            <v>RPH</v>
          </cell>
          <cell r="E125">
            <v>36</v>
          </cell>
          <cell r="F125" t="str">
            <v>M</v>
          </cell>
          <cell r="G125">
            <v>35142</v>
          </cell>
          <cell r="H125">
            <v>4</v>
          </cell>
          <cell r="I125">
            <v>100000000</v>
          </cell>
          <cell r="J125">
            <v>890400</v>
          </cell>
          <cell r="K125">
            <v>890400</v>
          </cell>
          <cell r="L125">
            <v>3561600</v>
          </cell>
          <cell r="M125">
            <v>20</v>
          </cell>
          <cell r="N125">
            <v>20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T125">
            <v>36500</v>
          </cell>
          <cell r="U125">
            <v>146000</v>
          </cell>
          <cell r="W125">
            <v>19121765.869724903</v>
          </cell>
          <cell r="X125">
            <v>0</v>
          </cell>
          <cell r="Y125">
            <v>0</v>
          </cell>
          <cell r="Z125">
            <v>292000</v>
          </cell>
          <cell r="AB125">
            <v>2252212.564865489</v>
          </cell>
          <cell r="AC125">
            <v>0</v>
          </cell>
          <cell r="AD125">
            <v>0</v>
          </cell>
          <cell r="AE125">
            <v>146000</v>
          </cell>
          <cell r="AH125">
            <v>91</v>
          </cell>
          <cell r="AI125">
            <v>84</v>
          </cell>
          <cell r="AJ125">
            <v>3</v>
          </cell>
          <cell r="AK125">
            <v>2.2522125648654891E-2</v>
          </cell>
          <cell r="AL125">
            <v>0</v>
          </cell>
          <cell r="AM125">
            <v>2.7755575615628914E-17</v>
          </cell>
          <cell r="AN125">
            <v>2.2114181268392263E-2</v>
          </cell>
          <cell r="AO125">
            <v>4.6097114807264722E-2</v>
          </cell>
          <cell r="AP125">
            <v>7.2104073911295141E-2</v>
          </cell>
          <cell r="AQ125">
            <v>0.10030852938791757</v>
          </cell>
          <cell r="AR125">
            <v>0.13091313691812398</v>
          </cell>
          <cell r="AS125">
            <v>0.16414340824236806</v>
          </cell>
          <cell r="AT125">
            <v>0.20024240884887606</v>
          </cell>
          <cell r="AU125">
            <v>0.23948991352441032</v>
          </cell>
          <cell r="AW125">
            <v>0</v>
          </cell>
          <cell r="AY125">
            <v>0</v>
          </cell>
          <cell r="AZ125">
            <v>0</v>
          </cell>
          <cell r="BA125">
            <v>1</v>
          </cell>
          <cell r="BC125">
            <v>0.7767551217302141</v>
          </cell>
          <cell r="BD125">
            <v>1.165076637570001</v>
          </cell>
          <cell r="BE125">
            <v>1.9362988541270787</v>
          </cell>
          <cell r="BF125">
            <v>3.069874294802406</v>
          </cell>
          <cell r="BG125">
            <v>4.6103258030931178</v>
          </cell>
          <cell r="BH125">
            <v>6.6076975965057363</v>
          </cell>
          <cell r="BI125">
            <v>9.1179251815068589</v>
          </cell>
          <cell r="BJ125">
            <v>12.204387742394941</v>
          </cell>
          <cell r="BL125">
            <v>660769.7596505736</v>
          </cell>
        </row>
        <row r="126">
          <cell r="A126">
            <v>10001512</v>
          </cell>
          <cell r="B126">
            <v>3</v>
          </cell>
          <cell r="C126" t="str">
            <v>CEG</v>
          </cell>
          <cell r="D126" t="str">
            <v>RPH</v>
          </cell>
          <cell r="E126">
            <v>36</v>
          </cell>
          <cell r="F126" t="str">
            <v>M</v>
          </cell>
          <cell r="G126">
            <v>36968</v>
          </cell>
          <cell r="H126">
            <v>4</v>
          </cell>
          <cell r="I126">
            <v>25000000</v>
          </cell>
          <cell r="J126">
            <v>1291900</v>
          </cell>
          <cell r="K126">
            <v>1291900</v>
          </cell>
          <cell r="L126">
            <v>5167600</v>
          </cell>
          <cell r="M126">
            <v>5</v>
          </cell>
          <cell r="N126">
            <v>5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T126">
            <v>53500</v>
          </cell>
          <cell r="U126">
            <v>214000</v>
          </cell>
          <cell r="W126">
            <v>11941015.929492503</v>
          </cell>
          <cell r="X126">
            <v>0</v>
          </cell>
          <cell r="Y126">
            <v>0</v>
          </cell>
          <cell r="Z126">
            <v>428000</v>
          </cell>
          <cell r="AB126">
            <v>4080202.8386681988</v>
          </cell>
          <cell r="AC126">
            <v>0</v>
          </cell>
          <cell r="AD126">
            <v>0</v>
          </cell>
          <cell r="AE126">
            <v>214000</v>
          </cell>
          <cell r="AH126">
            <v>31</v>
          </cell>
          <cell r="AI126">
            <v>24</v>
          </cell>
          <cell r="AJ126">
            <v>3</v>
          </cell>
          <cell r="AK126">
            <v>0.16320811354672796</v>
          </cell>
          <cell r="AL126">
            <v>0</v>
          </cell>
          <cell r="AM126">
            <v>0.13418569118110413</v>
          </cell>
          <cell r="AN126">
            <v>0.32304088208437537</v>
          </cell>
          <cell r="AO126">
            <v>0.52917388887814176</v>
          </cell>
          <cell r="AP126">
            <v>0.75422307911382236</v>
          </cell>
          <cell r="AQ126">
            <v>1</v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W126">
            <v>0</v>
          </cell>
          <cell r="AY126">
            <v>0</v>
          </cell>
          <cell r="AZ126">
            <v>0</v>
          </cell>
          <cell r="BA126">
            <v>1</v>
          </cell>
          <cell r="BC126">
            <v>18.166937562766904</v>
          </cell>
          <cell r="BD126">
            <v>37.719680705636343</v>
          </cell>
          <cell r="BE126">
            <v>51.568580430689501</v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L126">
            <v>454173.4390691726</v>
          </cell>
        </row>
        <row r="127">
          <cell r="A127">
            <v>10001512</v>
          </cell>
          <cell r="B127">
            <v>4</v>
          </cell>
          <cell r="C127" t="str">
            <v>NI</v>
          </cell>
          <cell r="D127" t="str">
            <v>RPH</v>
          </cell>
          <cell r="E127">
            <v>36</v>
          </cell>
          <cell r="F127" t="str">
            <v>M</v>
          </cell>
          <cell r="G127">
            <v>38794</v>
          </cell>
          <cell r="H127">
            <v>4</v>
          </cell>
          <cell r="I127">
            <v>25000000</v>
          </cell>
          <cell r="J127">
            <v>1300400</v>
          </cell>
          <cell r="K127">
            <v>1300400</v>
          </cell>
          <cell r="L127">
            <v>5201600</v>
          </cell>
          <cell r="M127">
            <v>5</v>
          </cell>
          <cell r="N127">
            <v>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H127">
            <v>0</v>
          </cell>
          <cell r="AI127">
            <v>0</v>
          </cell>
          <cell r="AJ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L127">
            <v>0</v>
          </cell>
        </row>
        <row r="128">
          <cell r="A128">
            <v>10001512</v>
          </cell>
          <cell r="B128">
            <v>5</v>
          </cell>
          <cell r="C128" t="str">
            <v>NI</v>
          </cell>
          <cell r="D128" t="str">
            <v>RPH</v>
          </cell>
          <cell r="E128">
            <v>36</v>
          </cell>
          <cell r="F128" t="str">
            <v>M</v>
          </cell>
          <cell r="G128">
            <v>40620</v>
          </cell>
          <cell r="H128">
            <v>4</v>
          </cell>
          <cell r="I128">
            <v>25000000</v>
          </cell>
          <cell r="J128">
            <v>1311400</v>
          </cell>
          <cell r="K128">
            <v>1311400</v>
          </cell>
          <cell r="L128">
            <v>5245600</v>
          </cell>
          <cell r="M128">
            <v>5</v>
          </cell>
          <cell r="N128">
            <v>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J128">
            <v>0</v>
          </cell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L128">
            <v>0</v>
          </cell>
        </row>
        <row r="129">
          <cell r="A129">
            <v>10000376</v>
          </cell>
          <cell r="B129">
            <v>0</v>
          </cell>
          <cell r="C129" t="str">
            <v>CP11</v>
          </cell>
          <cell r="D129" t="str">
            <v>RPH</v>
          </cell>
          <cell r="E129">
            <v>34</v>
          </cell>
          <cell r="F129" t="str">
            <v>M</v>
          </cell>
          <cell r="G129">
            <v>34833</v>
          </cell>
          <cell r="H129">
            <v>2</v>
          </cell>
          <cell r="I129">
            <v>20000000</v>
          </cell>
          <cell r="J129">
            <v>759200</v>
          </cell>
          <cell r="K129">
            <v>759200</v>
          </cell>
          <cell r="L129">
            <v>1518400</v>
          </cell>
          <cell r="M129">
            <v>11</v>
          </cell>
          <cell r="N129">
            <v>11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13457648.792213429</v>
          </cell>
          <cell r="X129">
            <v>0</v>
          </cell>
          <cell r="Y129">
            <v>0</v>
          </cell>
          <cell r="Z129">
            <v>0</v>
          </cell>
          <cell r="AB129">
            <v>1149912.3993714894</v>
          </cell>
          <cell r="AC129">
            <v>0</v>
          </cell>
          <cell r="AD129">
            <v>0</v>
          </cell>
          <cell r="AE129">
            <v>0</v>
          </cell>
          <cell r="AH129">
            <v>101</v>
          </cell>
          <cell r="AI129">
            <v>96</v>
          </cell>
          <cell r="AJ129">
            <v>1</v>
          </cell>
          <cell r="AK129">
            <v>5.7495619968574475E-2</v>
          </cell>
          <cell r="AL129">
            <v>0</v>
          </cell>
          <cell r="AM129">
            <v>2.4201794527819565E-2</v>
          </cell>
          <cell r="AN129">
            <v>8.8242539830952538E-2</v>
          </cell>
          <cell r="AO129">
            <v>0.15805695655184387</v>
          </cell>
          <cell r="AP129">
            <v>0.23417328461629078</v>
          </cell>
          <cell r="AQ129">
            <v>0.3171711281850027</v>
          </cell>
          <cell r="AR129">
            <v>0.40768423875953663</v>
          </cell>
          <cell r="AS129">
            <v>0.50640969714479167</v>
          </cell>
          <cell r="AT129">
            <v>0.61411620557482627</v>
          </cell>
          <cell r="AU129">
            <v>0.73164867364651665</v>
          </cell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C129">
            <v>6.5840438156437093</v>
          </cell>
          <cell r="BD129">
            <v>10.874851315808311</v>
          </cell>
          <cell r="BE129">
            <v>13.413489370486456</v>
          </cell>
          <cell r="BF129">
            <v>16.906817409958965</v>
          </cell>
          <cell r="BG129">
            <v>21.478597821869851</v>
          </cell>
          <cell r="BH129">
            <v>27.267620315328493</v>
          </cell>
          <cell r="BI129">
            <v>34.429643985306285</v>
          </cell>
          <cell r="BJ129">
            <v>43.139398230665726</v>
          </cell>
          <cell r="BL129">
            <v>688592.87970612571</v>
          </cell>
        </row>
        <row r="130">
          <cell r="A130">
            <v>10000395</v>
          </cell>
          <cell r="B130">
            <v>0</v>
          </cell>
          <cell r="C130" t="str">
            <v>CP18</v>
          </cell>
          <cell r="D130" t="str">
            <v>RPH</v>
          </cell>
          <cell r="E130">
            <v>32</v>
          </cell>
          <cell r="F130" t="str">
            <v>M</v>
          </cell>
          <cell r="G130">
            <v>34839</v>
          </cell>
          <cell r="H130">
            <v>4</v>
          </cell>
          <cell r="I130">
            <v>30000000</v>
          </cell>
          <cell r="J130">
            <v>329600</v>
          </cell>
          <cell r="K130">
            <v>280600</v>
          </cell>
          <cell r="L130">
            <v>1122400</v>
          </cell>
          <cell r="M130">
            <v>18</v>
          </cell>
          <cell r="N130">
            <v>18</v>
          </cell>
          <cell r="O130">
            <v>0</v>
          </cell>
          <cell r="P130">
            <v>0</v>
          </cell>
          <cell r="Q130">
            <v>44000000</v>
          </cell>
          <cell r="R130">
            <v>196000</v>
          </cell>
          <cell r="T130">
            <v>12900</v>
          </cell>
          <cell r="U130">
            <v>45200</v>
          </cell>
          <cell r="W130">
            <v>8229635.031849022</v>
          </cell>
          <cell r="X130">
            <v>0</v>
          </cell>
          <cell r="Y130">
            <v>13066.666666666666</v>
          </cell>
          <cell r="Z130">
            <v>90400</v>
          </cell>
          <cell r="AB130">
            <v>751800.88892906625</v>
          </cell>
          <cell r="AC130">
            <v>0</v>
          </cell>
          <cell r="AD130">
            <v>156800</v>
          </cell>
          <cell r="AE130">
            <v>45200</v>
          </cell>
          <cell r="AH130">
            <v>101</v>
          </cell>
          <cell r="AI130">
            <v>96</v>
          </cell>
          <cell r="AJ130">
            <v>2</v>
          </cell>
          <cell r="AK130">
            <v>2.5060029630968875E-2</v>
          </cell>
          <cell r="AL130">
            <v>0</v>
          </cell>
          <cell r="AM130">
            <v>1.4405870572486712E-3</v>
          </cell>
          <cell r="AN130">
            <v>2.8450003660082823E-2</v>
          </cell>
          <cell r="AO130">
            <v>5.7881790974051134E-2</v>
          </cell>
          <cell r="AP130">
            <v>8.9952416373885291E-2</v>
          </cell>
          <cell r="AQ130">
            <v>0.12489659177744347</v>
          </cell>
          <cell r="AR130">
            <v>0.16297323923535742</v>
          </cell>
          <cell r="AS130">
            <v>0.20446564294842459</v>
          </cell>
          <cell r="AT130">
            <v>0.24968206977388574</v>
          </cell>
          <cell r="AU130">
            <v>0.29896026568271572</v>
          </cell>
          <cell r="AW130">
            <v>2</v>
          </cell>
          <cell r="AY130">
            <v>0</v>
          </cell>
          <cell r="AZ130">
            <v>0.8</v>
          </cell>
          <cell r="BA130">
            <v>1</v>
          </cell>
          <cell r="BC130">
            <v>3.1280368903457227</v>
          </cell>
          <cell r="BD130">
            <v>4.3749067147974676</v>
          </cell>
          <cell r="BE130">
            <v>5.2908293211933541</v>
          </cell>
          <cell r="BF130">
            <v>6.6125757157472087</v>
          </cell>
          <cell r="BG130">
            <v>8.392151871742767</v>
          </cell>
          <cell r="BH130">
            <v>10.687703472296739</v>
          </cell>
          <cell r="BI130">
            <v>13.564146375349029</v>
          </cell>
          <cell r="BJ130">
            <v>17.094025103796046</v>
          </cell>
          <cell r="BL130">
            <v>406924.39126047085</v>
          </cell>
        </row>
        <row r="131">
          <cell r="A131">
            <v>10000395</v>
          </cell>
          <cell r="B131">
            <v>1</v>
          </cell>
          <cell r="C131" t="str">
            <v>E15</v>
          </cell>
          <cell r="D131" t="str">
            <v>RPH</v>
          </cell>
          <cell r="E131">
            <v>32</v>
          </cell>
          <cell r="F131" t="str">
            <v>M</v>
          </cell>
          <cell r="G131">
            <v>34839</v>
          </cell>
          <cell r="H131">
            <v>4</v>
          </cell>
          <cell r="I131">
            <v>4000000</v>
          </cell>
          <cell r="J131">
            <v>49000</v>
          </cell>
          <cell r="K131">
            <v>49000</v>
          </cell>
          <cell r="L131">
            <v>196000</v>
          </cell>
          <cell r="M131">
            <v>15</v>
          </cell>
          <cell r="N131">
            <v>15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T131">
            <v>1600</v>
          </cell>
          <cell r="U131">
            <v>6400</v>
          </cell>
          <cell r="W131">
            <v>1555376.3408861929</v>
          </cell>
          <cell r="X131">
            <v>0</v>
          </cell>
          <cell r="Y131">
            <v>0</v>
          </cell>
          <cell r="Z131">
            <v>12800</v>
          </cell>
          <cell r="AB131">
            <v>142240.2043404282</v>
          </cell>
          <cell r="AC131">
            <v>0</v>
          </cell>
          <cell r="AD131">
            <v>0</v>
          </cell>
          <cell r="AE131">
            <v>6400</v>
          </cell>
          <cell r="AH131">
            <v>101</v>
          </cell>
          <cell r="AI131">
            <v>96</v>
          </cell>
          <cell r="AJ131">
            <v>2</v>
          </cell>
          <cell r="AK131">
            <v>3.5560051085107049E-2</v>
          </cell>
          <cell r="AL131">
            <v>0</v>
          </cell>
          <cell r="AM131">
            <v>1.3128641663826546E-3</v>
          </cell>
          <cell r="AN131">
            <v>3.9632713053153412E-2</v>
          </cell>
          <cell r="AO131">
            <v>8.1398132896679576E-2</v>
          </cell>
          <cell r="AP131">
            <v>0.12691888824234548</v>
          </cell>
          <cell r="AQ131">
            <v>0.17653160411647553</v>
          </cell>
          <cell r="AR131">
            <v>0.23060765205233985</v>
          </cell>
          <cell r="AS131">
            <v>0.28955379897153788</v>
          </cell>
          <cell r="AT131">
            <v>0.3538137571474248</v>
          </cell>
          <cell r="AU131">
            <v>0.4238744132956716</v>
          </cell>
          <cell r="AW131">
            <v>0</v>
          </cell>
          <cell r="AY131">
            <v>0</v>
          </cell>
          <cell r="AZ131">
            <v>0</v>
          </cell>
          <cell r="BA131">
            <v>1</v>
          </cell>
          <cell r="BC131">
            <v>4.1662173404601024</v>
          </cell>
          <cell r="BD131">
            <v>6.3276860406954984</v>
          </cell>
          <cell r="BE131">
            <v>7.7311890494718964</v>
          </cell>
          <cell r="BF131">
            <v>9.7052886612334621</v>
          </cell>
          <cell r="BG131">
            <v>12.323416079533525</v>
          </cell>
          <cell r="BH131">
            <v>15.667741245386424</v>
          </cell>
          <cell r="BI131">
            <v>19.830114773004933</v>
          </cell>
          <cell r="BJ131">
            <v>24.913296954919492</v>
          </cell>
          <cell r="BL131">
            <v>79320.459092019737</v>
          </cell>
        </row>
        <row r="132">
          <cell r="A132">
            <v>10000408</v>
          </cell>
          <cell r="B132">
            <v>0</v>
          </cell>
          <cell r="C132" t="str">
            <v>CP17</v>
          </cell>
          <cell r="D132" t="str">
            <v>RPH</v>
          </cell>
          <cell r="E132">
            <v>32</v>
          </cell>
          <cell r="F132" t="str">
            <v>M</v>
          </cell>
          <cell r="G132">
            <v>34864</v>
          </cell>
          <cell r="H132">
            <v>4</v>
          </cell>
          <cell r="I132">
            <v>20800000</v>
          </cell>
          <cell r="J132">
            <v>212200</v>
          </cell>
          <cell r="K132">
            <v>212200</v>
          </cell>
          <cell r="L132">
            <v>848800</v>
          </cell>
          <cell r="M132">
            <v>17</v>
          </cell>
          <cell r="N132">
            <v>17</v>
          </cell>
          <cell r="O132">
            <v>21000000</v>
          </cell>
          <cell r="P132">
            <v>55600</v>
          </cell>
          <cell r="Q132">
            <v>0</v>
          </cell>
          <cell r="R132">
            <v>0</v>
          </cell>
          <cell r="T132">
            <v>7200</v>
          </cell>
          <cell r="U132">
            <v>28800</v>
          </cell>
          <cell r="W132">
            <v>6386020.2832894875</v>
          </cell>
          <cell r="X132">
            <v>55600</v>
          </cell>
          <cell r="Y132">
            <v>0</v>
          </cell>
          <cell r="Z132">
            <v>57600</v>
          </cell>
          <cell r="AB132">
            <v>583703.43273184064</v>
          </cell>
          <cell r="AC132">
            <v>55600</v>
          </cell>
          <cell r="AD132">
            <v>0</v>
          </cell>
          <cell r="AE132">
            <v>28800</v>
          </cell>
          <cell r="AH132">
            <v>100</v>
          </cell>
          <cell r="AI132">
            <v>96</v>
          </cell>
          <cell r="AJ132">
            <v>2</v>
          </cell>
          <cell r="AK132">
            <v>2.8062665035184647E-2</v>
          </cell>
          <cell r="AL132">
            <v>0</v>
          </cell>
          <cell r="AM132">
            <v>1.4016245817702333E-3</v>
          </cell>
          <cell r="AN132">
            <v>3.1642429238936148E-2</v>
          </cell>
          <cell r="AO132">
            <v>6.4597522426451753E-2</v>
          </cell>
          <cell r="AP132">
            <v>0.10050990315930075</v>
          </cell>
          <cell r="AQ132">
            <v>0.13964323106582127</v>
          </cell>
          <cell r="AR132">
            <v>0.18228836798898515</v>
          </cell>
          <cell r="AS132">
            <v>0.22876365162020687</v>
          </cell>
          <cell r="AT132">
            <v>0.27941575026956122</v>
          </cell>
          <cell r="AU132">
            <v>0.33462466158519721</v>
          </cell>
          <cell r="AW132">
            <v>0</v>
          </cell>
          <cell r="AY132">
            <v>1</v>
          </cell>
          <cell r="AZ132">
            <v>0</v>
          </cell>
          <cell r="BA132">
            <v>1</v>
          </cell>
          <cell r="BC132">
            <v>3.4269846060502442</v>
          </cell>
          <cell r="BD132">
            <v>4.9370591826840542</v>
          </cell>
          <cell r="BE132">
            <v>5.9932457786393201</v>
          </cell>
          <cell r="BF132">
            <v>7.5026376618147204</v>
          </cell>
          <cell r="BG132">
            <v>9.5233904638759981</v>
          </cell>
          <cell r="BH132">
            <v>12.120542755891577</v>
          </cell>
          <cell r="BI132">
            <v>15.366734085233878</v>
          </cell>
          <cell r="BJ132">
            <v>19.343168876472724</v>
          </cell>
          <cell r="BL132">
            <v>319628.06897286471</v>
          </cell>
        </row>
        <row r="133">
          <cell r="A133">
            <v>10000441</v>
          </cell>
          <cell r="B133">
            <v>0</v>
          </cell>
          <cell r="C133" t="str">
            <v>CP15</v>
          </cell>
          <cell r="D133" t="str">
            <v>RPH</v>
          </cell>
          <cell r="E133">
            <v>39</v>
          </cell>
          <cell r="F133" t="str">
            <v>F</v>
          </cell>
          <cell r="G133">
            <v>34898</v>
          </cell>
          <cell r="H133">
            <v>12</v>
          </cell>
          <cell r="I133">
            <v>17500000</v>
          </cell>
          <cell r="J133">
            <v>77000</v>
          </cell>
          <cell r="K133">
            <v>77000</v>
          </cell>
          <cell r="L133">
            <v>924000</v>
          </cell>
          <cell r="M133">
            <v>15</v>
          </cell>
          <cell r="N133">
            <v>15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6598765.3460320355</v>
          </cell>
          <cell r="X133">
            <v>0</v>
          </cell>
          <cell r="Y133">
            <v>0</v>
          </cell>
          <cell r="Z133">
            <v>0</v>
          </cell>
          <cell r="AB133">
            <v>625438.57449609088</v>
          </cell>
          <cell r="AC133">
            <v>0</v>
          </cell>
          <cell r="AD133">
            <v>0</v>
          </cell>
          <cell r="AE133">
            <v>0</v>
          </cell>
          <cell r="AH133">
            <v>99</v>
          </cell>
          <cell r="AI133">
            <v>96</v>
          </cell>
          <cell r="AJ133">
            <v>4</v>
          </cell>
          <cell r="AK133">
            <v>3.5739347114062334E-2</v>
          </cell>
          <cell r="AL133">
            <v>0</v>
          </cell>
          <cell r="AM133">
            <v>1.8746118958345992E-3</v>
          </cell>
          <cell r="AN133">
            <v>4.0167064622196491E-2</v>
          </cell>
          <cell r="AO133">
            <v>8.1872532107170659E-2</v>
          </cell>
          <cell r="AP133">
            <v>0.12730514801519799</v>
          </cell>
          <cell r="AQ133">
            <v>0.17681470603974386</v>
          </cell>
          <cell r="AR133">
            <v>0.23077541317640826</v>
          </cell>
          <cell r="AS133">
            <v>0.28960278962673819</v>
          </cell>
          <cell r="AT133">
            <v>0.35375161093380847</v>
          </cell>
          <cell r="AU133">
            <v>0.42371369459501784</v>
          </cell>
          <cell r="AW133">
            <v>0</v>
          </cell>
          <cell r="AY133">
            <v>0</v>
          </cell>
          <cell r="AZ133">
            <v>0</v>
          </cell>
          <cell r="BA133">
            <v>0</v>
          </cell>
          <cell r="BC133">
            <v>4.1947432722356393</v>
          </cell>
          <cell r="BD133">
            <v>6.3629871082207341</v>
          </cell>
          <cell r="BE133">
            <v>7.7647292023639389</v>
          </cell>
          <cell r="BF133">
            <v>9.7359958627889185</v>
          </cell>
          <cell r="BG133">
            <v>12.350127867921165</v>
          </cell>
          <cell r="BH133">
            <v>15.689516930419607</v>
          </cell>
          <cell r="BI133">
            <v>19.846533075081194</v>
          </cell>
          <cell r="BJ133">
            <v>24.924373216975429</v>
          </cell>
          <cell r="BL133">
            <v>347314.3288139209</v>
          </cell>
        </row>
        <row r="134">
          <cell r="A134">
            <v>10000518</v>
          </cell>
          <cell r="B134">
            <v>0</v>
          </cell>
          <cell r="C134" t="str">
            <v>CP16</v>
          </cell>
          <cell r="D134" t="str">
            <v>RPH</v>
          </cell>
          <cell r="E134">
            <v>31</v>
          </cell>
          <cell r="F134" t="str">
            <v>M</v>
          </cell>
          <cell r="G134">
            <v>34892</v>
          </cell>
          <cell r="H134">
            <v>1</v>
          </cell>
          <cell r="I134">
            <v>27750000</v>
          </cell>
          <cell r="J134">
            <v>1168300</v>
          </cell>
          <cell r="K134">
            <v>1168300</v>
          </cell>
          <cell r="L134">
            <v>1168300</v>
          </cell>
          <cell r="M134">
            <v>16</v>
          </cell>
          <cell r="N134">
            <v>16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T134">
            <v>37400</v>
          </cell>
          <cell r="U134">
            <v>37400</v>
          </cell>
          <cell r="W134">
            <v>10429533.246454278</v>
          </cell>
          <cell r="X134">
            <v>0</v>
          </cell>
          <cell r="Y134">
            <v>0</v>
          </cell>
          <cell r="Z134">
            <v>74800</v>
          </cell>
          <cell r="AB134">
            <v>874306.67900621821</v>
          </cell>
          <cell r="AC134">
            <v>0</v>
          </cell>
          <cell r="AD134">
            <v>0</v>
          </cell>
          <cell r="AE134">
            <v>37400</v>
          </cell>
          <cell r="AH134">
            <v>99</v>
          </cell>
          <cell r="AI134">
            <v>96</v>
          </cell>
          <cell r="AJ134">
            <v>1</v>
          </cell>
          <cell r="AK134">
            <v>3.1506546991215072E-2</v>
          </cell>
          <cell r="AL134">
            <v>0</v>
          </cell>
          <cell r="AM134">
            <v>1.3081862609058414E-3</v>
          </cell>
          <cell r="AN134">
            <v>3.527443154218729E-2</v>
          </cell>
          <cell r="AO134">
            <v>7.229619582183705E-2</v>
          </cell>
          <cell r="AP134">
            <v>0.11264706997320934</v>
          </cell>
          <cell r="AQ134">
            <v>0.15662637544064101</v>
          </cell>
          <cell r="AR134">
            <v>0.20455947034993704</v>
          </cell>
          <cell r="AS134">
            <v>0.25680493802654636</v>
          </cell>
          <cell r="AT134">
            <v>0.31375538146215554</v>
          </cell>
          <cell r="AU134">
            <v>0.37583903590826229</v>
          </cell>
          <cell r="AW134">
            <v>0</v>
          </cell>
          <cell r="AY134">
            <v>0</v>
          </cell>
          <cell r="AZ134">
            <v>0</v>
          </cell>
          <cell r="BA134">
            <v>1</v>
          </cell>
          <cell r="BC134">
            <v>3.7667998877226645</v>
          </cell>
          <cell r="BD134">
            <v>5.5777140236479941</v>
          </cell>
          <cell r="BE134">
            <v>6.7947879745113795</v>
          </cell>
          <cell r="BF134">
            <v>8.519644637135567</v>
          </cell>
          <cell r="BG134">
            <v>10.817503313345643</v>
          </cell>
          <cell r="BH134">
            <v>13.761358749996274</v>
          </cell>
          <cell r="BI134">
            <v>17.432840677607203</v>
          </cell>
          <cell r="BJ134">
            <v>21.923135517910051</v>
          </cell>
          <cell r="BL134">
            <v>483761.32880359987</v>
          </cell>
        </row>
        <row r="135">
          <cell r="A135">
            <v>10000553</v>
          </cell>
          <cell r="B135">
            <v>0</v>
          </cell>
          <cell r="C135" t="str">
            <v>CP18</v>
          </cell>
          <cell r="D135" t="str">
            <v>RPH</v>
          </cell>
          <cell r="E135">
            <v>29</v>
          </cell>
          <cell r="F135" t="str">
            <v>M</v>
          </cell>
          <cell r="G135">
            <v>34913</v>
          </cell>
          <cell r="H135">
            <v>4</v>
          </cell>
          <cell r="I135">
            <v>23000000</v>
          </cell>
          <cell r="J135">
            <v>302500</v>
          </cell>
          <cell r="K135">
            <v>214600</v>
          </cell>
          <cell r="L135">
            <v>858400</v>
          </cell>
          <cell r="M135">
            <v>18</v>
          </cell>
          <cell r="N135">
            <v>18</v>
          </cell>
          <cell r="O135">
            <v>0</v>
          </cell>
          <cell r="P135">
            <v>0</v>
          </cell>
          <cell r="Q135">
            <v>44000000</v>
          </cell>
          <cell r="R135">
            <v>140000</v>
          </cell>
          <cell r="T135">
            <v>10000</v>
          </cell>
          <cell r="U135">
            <v>30000</v>
          </cell>
          <cell r="W135">
            <v>6022793.4041546714</v>
          </cell>
          <cell r="X135">
            <v>0</v>
          </cell>
          <cell r="Y135">
            <v>9333.3333333333339</v>
          </cell>
          <cell r="Z135">
            <v>60000</v>
          </cell>
          <cell r="AB135">
            <v>575050.84653798304</v>
          </cell>
          <cell r="AC135">
            <v>0</v>
          </cell>
          <cell r="AD135">
            <v>112000</v>
          </cell>
          <cell r="AE135">
            <v>30000</v>
          </cell>
          <cell r="AH135">
            <v>98</v>
          </cell>
          <cell r="AI135">
            <v>96</v>
          </cell>
          <cell r="AJ135">
            <v>1</v>
          </cell>
          <cell r="AK135">
            <v>2.5002210719042739E-2</v>
          </cell>
          <cell r="AL135">
            <v>0</v>
          </cell>
          <cell r="AM135">
            <v>1.3248328484655458E-3</v>
          </cell>
          <cell r="AN135">
            <v>2.8305239573160001E-2</v>
          </cell>
          <cell r="AO135">
            <v>5.7714839054435363E-2</v>
          </cell>
          <cell r="AP135">
            <v>8.97698630073063E-2</v>
          </cell>
          <cell r="AQ135">
            <v>0.1247086939535057</v>
          </cell>
          <cell r="AR135">
            <v>0.16278975891238576</v>
          </cell>
          <cell r="AS135">
            <v>0.20429562211295449</v>
          </cell>
          <cell r="AT135">
            <v>0.24953356258006471</v>
          </cell>
          <cell r="AU135">
            <v>0.29884164341714015</v>
          </cell>
          <cell r="AW135">
            <v>2</v>
          </cell>
          <cell r="AY135">
            <v>0</v>
          </cell>
          <cell r="AZ135">
            <v>0.8</v>
          </cell>
          <cell r="BA135">
            <v>1</v>
          </cell>
          <cell r="BC135">
            <v>3.1197620191592681</v>
          </cell>
          <cell r="BD135">
            <v>4.362482741590739</v>
          </cell>
          <cell r="BE135">
            <v>5.2773818557826795</v>
          </cell>
          <cell r="BF135">
            <v>6.5982384085371937</v>
          </cell>
          <cell r="BG135">
            <v>8.3772058240933003</v>
          </cell>
          <cell r="BH135">
            <v>10.672555670672521</v>
          </cell>
          <cell r="BI135">
            <v>13.549299676842926</v>
          </cell>
          <cell r="BJ135">
            <v>17.08012816665914</v>
          </cell>
          <cell r="BL135">
            <v>311633.89256738726</v>
          </cell>
        </row>
        <row r="136">
          <cell r="A136">
            <v>10000553</v>
          </cell>
          <cell r="B136">
            <v>1</v>
          </cell>
          <cell r="C136" t="str">
            <v>E12</v>
          </cell>
          <cell r="D136" t="str">
            <v>RPH</v>
          </cell>
          <cell r="E136">
            <v>29</v>
          </cell>
          <cell r="F136" t="str">
            <v>M</v>
          </cell>
          <cell r="G136">
            <v>34913</v>
          </cell>
          <cell r="H136">
            <v>4</v>
          </cell>
          <cell r="I136">
            <v>3000000</v>
          </cell>
          <cell r="J136">
            <v>51200</v>
          </cell>
          <cell r="K136">
            <v>51200</v>
          </cell>
          <cell r="L136">
            <v>204800</v>
          </cell>
          <cell r="M136">
            <v>12</v>
          </cell>
          <cell r="N136">
            <v>12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1400</v>
          </cell>
          <cell r="U136">
            <v>5600</v>
          </cell>
          <cell r="W136">
            <v>1670065.3009248648</v>
          </cell>
          <cell r="X136">
            <v>0</v>
          </cell>
          <cell r="Y136">
            <v>0</v>
          </cell>
          <cell r="Z136">
            <v>11200</v>
          </cell>
          <cell r="AB136">
            <v>151203.80860971214</v>
          </cell>
          <cell r="AC136">
            <v>0</v>
          </cell>
          <cell r="AD136">
            <v>0</v>
          </cell>
          <cell r="AE136">
            <v>5600</v>
          </cell>
          <cell r="AH136">
            <v>98</v>
          </cell>
          <cell r="AI136">
            <v>96</v>
          </cell>
          <cell r="AJ136">
            <v>1</v>
          </cell>
          <cell r="AK136">
            <v>5.040126953657071E-2</v>
          </cell>
          <cell r="AL136">
            <v>0</v>
          </cell>
          <cell r="AM136">
            <v>1.6727430991384795E-2</v>
          </cell>
          <cell r="AN136">
            <v>7.2558041235566251E-2</v>
          </cell>
          <cell r="AO136">
            <v>0.13343706545632145</v>
          </cell>
          <cell r="AP136">
            <v>0.19981895664819643</v>
          </cell>
          <cell r="AQ136">
            <v>0.27220412781318742</v>
          </cell>
          <cell r="AR136">
            <v>0.35113736669285445</v>
          </cell>
          <cell r="AS136">
            <v>0.43721552006033704</v>
          </cell>
          <cell r="AT136">
            <v>0.53109088502421442</v>
          </cell>
          <cell r="AU136">
            <v>0.63348107949384325</v>
          </cell>
          <cell r="AW136">
            <v>0</v>
          </cell>
          <cell r="AY136">
            <v>0</v>
          </cell>
          <cell r="AZ136">
            <v>0</v>
          </cell>
          <cell r="BA136">
            <v>1</v>
          </cell>
          <cell r="BC136">
            <v>5.7996638223503858</v>
          </cell>
          <cell r="BD136">
            <v>9.4073141908551374</v>
          </cell>
          <cell r="BE136">
            <v>11.584201996209849</v>
          </cell>
          <cell r="BF136">
            <v>14.593806412676763</v>
          </cell>
          <cell r="BG136">
            <v>18.543818406453823</v>
          </cell>
          <cell r="BH136">
            <v>23.55474564098105</v>
          </cell>
          <cell r="BI136">
            <v>29.761349103703143</v>
          </cell>
          <cell r="BJ136">
            <v>37.314510601830257</v>
          </cell>
          <cell r="BL136">
            <v>89284.047311109418</v>
          </cell>
        </row>
        <row r="137">
          <cell r="A137">
            <v>10000553</v>
          </cell>
          <cell r="B137">
            <v>2</v>
          </cell>
          <cell r="C137" t="str">
            <v>E15</v>
          </cell>
          <cell r="D137" t="str">
            <v>RPH</v>
          </cell>
          <cell r="E137">
            <v>29</v>
          </cell>
          <cell r="F137" t="str">
            <v>M</v>
          </cell>
          <cell r="G137">
            <v>34913</v>
          </cell>
          <cell r="H137">
            <v>4</v>
          </cell>
          <cell r="I137">
            <v>3000000</v>
          </cell>
          <cell r="J137">
            <v>36700</v>
          </cell>
          <cell r="K137">
            <v>36700</v>
          </cell>
          <cell r="L137">
            <v>146800</v>
          </cell>
          <cell r="M137">
            <v>15</v>
          </cell>
          <cell r="N137">
            <v>15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T137">
            <v>1100</v>
          </cell>
          <cell r="U137">
            <v>4400</v>
          </cell>
          <cell r="W137">
            <v>1113859.7539678419</v>
          </cell>
          <cell r="X137">
            <v>0</v>
          </cell>
          <cell r="Y137">
            <v>0</v>
          </cell>
          <cell r="Z137">
            <v>8800</v>
          </cell>
          <cell r="AB137">
            <v>106489.49910968126</v>
          </cell>
          <cell r="AC137">
            <v>0</v>
          </cell>
          <cell r="AD137">
            <v>0</v>
          </cell>
          <cell r="AE137">
            <v>4400</v>
          </cell>
          <cell r="AH137">
            <v>98</v>
          </cell>
          <cell r="AI137">
            <v>96</v>
          </cell>
          <cell r="AJ137">
            <v>1</v>
          </cell>
          <cell r="AK137">
            <v>3.5496499703227088E-2</v>
          </cell>
          <cell r="AL137">
            <v>0</v>
          </cell>
          <cell r="AM137">
            <v>1.207372761295511E-3</v>
          </cell>
          <cell r="AN137">
            <v>3.9505543054628001E-2</v>
          </cell>
          <cell r="AO137">
            <v>8.1258529453892447E-2</v>
          </cell>
          <cell r="AP137">
            <v>0.12677536528416289</v>
          </cell>
          <cell r="AQ137">
            <v>0.17639660514283698</v>
          </cell>
          <cell r="AR137">
            <v>0.23049211617235491</v>
          </cell>
          <cell r="AS137">
            <v>0.28946668418216981</v>
          </cell>
          <cell r="AT137">
            <v>0.35376147761511312</v>
          </cell>
          <cell r="AU137">
            <v>0.4238619057784499</v>
          </cell>
          <cell r="AW137">
            <v>0</v>
          </cell>
          <cell r="AY137">
            <v>0</v>
          </cell>
          <cell r="AZ137">
            <v>0</v>
          </cell>
          <cell r="BA137">
            <v>1</v>
          </cell>
          <cell r="BC137">
            <v>4.1577730975562854</v>
          </cell>
          <cell r="BD137">
            <v>6.3155898974637381</v>
          </cell>
          <cell r="BE137">
            <v>7.7185205559149317</v>
          </cell>
          <cell r="BF137">
            <v>9.6923537293325683</v>
          </cell>
          <cell r="BG137">
            <v>12.310655027540745</v>
          </cell>
          <cell r="BH137">
            <v>15.655676773405427</v>
          </cell>
          <cell r="BI137">
            <v>19.819283379793269</v>
          </cell>
          <cell r="BJ137">
            <v>24.904250615940136</v>
          </cell>
          <cell r="BL137">
            <v>59457.850139379807</v>
          </cell>
        </row>
        <row r="138">
          <cell r="A138">
            <v>10000566</v>
          </cell>
          <cell r="B138">
            <v>0</v>
          </cell>
          <cell r="C138" t="str">
            <v>CP15</v>
          </cell>
          <cell r="D138" t="str">
            <v>RPH</v>
          </cell>
          <cell r="E138">
            <v>50</v>
          </cell>
          <cell r="F138" t="str">
            <v>F</v>
          </cell>
          <cell r="G138">
            <v>34939</v>
          </cell>
          <cell r="H138">
            <v>2</v>
          </cell>
          <cell r="I138">
            <v>17500000</v>
          </cell>
          <cell r="J138">
            <v>519900</v>
          </cell>
          <cell r="K138">
            <v>427800</v>
          </cell>
          <cell r="L138">
            <v>855600</v>
          </cell>
          <cell r="M138">
            <v>15</v>
          </cell>
          <cell r="N138">
            <v>15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U138">
            <v>0</v>
          </cell>
          <cell r="W138">
            <v>6803149.0916235484</v>
          </cell>
          <cell r="X138">
            <v>0</v>
          </cell>
          <cell r="Y138">
            <v>0</v>
          </cell>
          <cell r="Z138">
            <v>0</v>
          </cell>
          <cell r="AB138">
            <v>634411.1169976386</v>
          </cell>
          <cell r="AC138">
            <v>0</v>
          </cell>
          <cell r="AD138">
            <v>0</v>
          </cell>
          <cell r="AE138">
            <v>0</v>
          </cell>
          <cell r="AH138">
            <v>98</v>
          </cell>
          <cell r="AI138">
            <v>96</v>
          </cell>
          <cell r="AJ138">
            <v>1</v>
          </cell>
          <cell r="AK138">
            <v>3.6252063828436494E-2</v>
          </cell>
          <cell r="AL138">
            <v>0</v>
          </cell>
          <cell r="AM138">
            <v>4.1586293131808949E-3</v>
          </cell>
          <cell r="AN138">
            <v>4.2251818333781999E-2</v>
          </cell>
          <cell r="AO138">
            <v>8.3718708113146578E-2</v>
          </cell>
          <cell r="AP138">
            <v>0.12887033453771529</v>
          </cell>
          <cell r="AQ138">
            <v>0.17805852915117315</v>
          </cell>
          <cell r="AR138">
            <v>0.23167023462309716</v>
          </cell>
          <cell r="AS138">
            <v>0.29013608547017444</v>
          </cell>
          <cell r="AT138">
            <v>0.35393101585041575</v>
          </cell>
          <cell r="AU138">
            <v>0.42357173747798976</v>
          </cell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4.2890850021940166</v>
          </cell>
          <cell r="BD138">
            <v>6.4738749449989914</v>
          </cell>
          <cell r="BE138">
            <v>7.8692686898949935</v>
          </cell>
          <cell r="BF138">
            <v>9.8313755941306056</v>
          </cell>
          <cell r="BG138">
            <v>12.433552510346026</v>
          </cell>
          <cell r="BH138">
            <v>15.758601687956986</v>
          </cell>
          <cell r="BI138">
            <v>19.899889638554018</v>
          </cell>
          <cell r="BJ138">
            <v>24.962313482583138</v>
          </cell>
          <cell r="BL138">
            <v>348248.06867469533</v>
          </cell>
        </row>
        <row r="139">
          <cell r="A139">
            <v>10000566</v>
          </cell>
          <cell r="B139">
            <v>1</v>
          </cell>
          <cell r="C139" t="str">
            <v>E12</v>
          </cell>
          <cell r="D139" t="str">
            <v>RPH</v>
          </cell>
          <cell r="E139">
            <v>50</v>
          </cell>
          <cell r="F139" t="str">
            <v>F</v>
          </cell>
          <cell r="G139">
            <v>34939</v>
          </cell>
          <cell r="H139">
            <v>2</v>
          </cell>
          <cell r="I139">
            <v>2685000</v>
          </cell>
          <cell r="J139">
            <v>92100</v>
          </cell>
          <cell r="K139">
            <v>92100</v>
          </cell>
          <cell r="L139">
            <v>184200</v>
          </cell>
          <cell r="M139">
            <v>12</v>
          </cell>
          <cell r="N139">
            <v>12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1560554.2699164473</v>
          </cell>
          <cell r="X139">
            <v>0</v>
          </cell>
          <cell r="Y139">
            <v>0</v>
          </cell>
          <cell r="Z139">
            <v>0</v>
          </cell>
          <cell r="AB139">
            <v>137535.93014446585</v>
          </cell>
          <cell r="AC139">
            <v>0</v>
          </cell>
          <cell r="AD139">
            <v>0</v>
          </cell>
          <cell r="AE139">
            <v>0</v>
          </cell>
          <cell r="AH139">
            <v>98</v>
          </cell>
          <cell r="AI139">
            <v>96</v>
          </cell>
          <cell r="AJ139">
            <v>1</v>
          </cell>
          <cell r="AK139">
            <v>5.1223810109670712E-2</v>
          </cell>
          <cell r="AL139">
            <v>0</v>
          </cell>
          <cell r="AM139">
            <v>1.9516914883865977E-2</v>
          </cell>
          <cell r="AN139">
            <v>7.4909444123420432E-2</v>
          </cell>
          <cell r="AO139">
            <v>0.13527158373317777</v>
          </cell>
          <cell r="AP139">
            <v>0.20107305943179682</v>
          </cell>
          <cell r="AQ139">
            <v>0.27284365140035272</v>
          </cell>
          <cell r="AR139">
            <v>0.351167463749675</v>
          </cell>
          <cell r="AS139">
            <v>0.43669374688111429</v>
          </cell>
          <cell r="AT139">
            <v>0.5301386433083628</v>
          </cell>
          <cell r="AU139">
            <v>0.63228539387334837</v>
          </cell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5.9422060827597356</v>
          </cell>
          <cell r="BD139">
            <v>9.5689224636235952</v>
          </cell>
          <cell r="BE139">
            <v>11.731857393827138</v>
          </cell>
          <cell r="BF139">
            <v>14.723093287898484</v>
          </cell>
          <cell r="BG139">
            <v>18.651559785780673</v>
          </cell>
          <cell r="BH139">
            <v>23.640400225479173</v>
          </cell>
          <cell r="BI139">
            <v>29.828674912682878</v>
          </cell>
          <cell r="BJ139">
            <v>37.373032244000825</v>
          </cell>
          <cell r="BL139">
            <v>80089.992140553528</v>
          </cell>
        </row>
        <row r="140">
          <cell r="A140">
            <v>10000610</v>
          </cell>
          <cell r="B140">
            <v>0</v>
          </cell>
          <cell r="C140" t="str">
            <v>CP18</v>
          </cell>
          <cell r="D140" t="str">
            <v>RPH</v>
          </cell>
          <cell r="E140">
            <v>22</v>
          </cell>
          <cell r="F140" t="str">
            <v>F</v>
          </cell>
          <cell r="G140">
            <v>34918</v>
          </cell>
          <cell r="H140">
            <v>1</v>
          </cell>
          <cell r="I140">
            <v>23610000</v>
          </cell>
          <cell r="J140">
            <v>824000</v>
          </cell>
          <cell r="K140">
            <v>824000</v>
          </cell>
          <cell r="L140">
            <v>824000</v>
          </cell>
          <cell r="M140">
            <v>18</v>
          </cell>
          <cell r="N140">
            <v>18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7048511.2772231316</v>
          </cell>
          <cell r="X140">
            <v>0</v>
          </cell>
          <cell r="Y140">
            <v>0</v>
          </cell>
          <cell r="Z140">
            <v>0</v>
          </cell>
          <cell r="AB140">
            <v>588538.74513888906</v>
          </cell>
          <cell r="AC140">
            <v>0</v>
          </cell>
          <cell r="AD140">
            <v>0</v>
          </cell>
          <cell r="AE140">
            <v>0</v>
          </cell>
          <cell r="AH140">
            <v>98</v>
          </cell>
          <cell r="AI140">
            <v>96</v>
          </cell>
          <cell r="AJ140">
            <v>1</v>
          </cell>
          <cell r="AK140">
            <v>2.4927519912701781E-2</v>
          </cell>
          <cell r="AL140">
            <v>0</v>
          </cell>
          <cell r="AM140">
            <v>9.7392444581759219E-4</v>
          </cell>
          <cell r="AN140">
            <v>2.7944158172189565E-2</v>
          </cell>
          <cell r="AO140">
            <v>5.7342888522966484E-2</v>
          </cell>
          <cell r="AP140">
            <v>8.9392386532258034E-2</v>
          </cell>
          <cell r="AQ140">
            <v>0.12433014709529752</v>
          </cell>
          <cell r="AR140">
            <v>0.16241546897948619</v>
          </cell>
          <cell r="AS140">
            <v>0.20393359979564976</v>
          </cell>
          <cell r="AT140">
            <v>0.24919567991935315</v>
          </cell>
          <cell r="AU140">
            <v>0.29853923241097552</v>
          </cell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3.1059202934685306</v>
          </cell>
          <cell r="BD140">
            <v>4.3439300014967621</v>
          </cell>
          <cell r="BE140">
            <v>5.2580659121349917</v>
          </cell>
          <cell r="BF140">
            <v>6.5780955134278605</v>
          </cell>
          <cell r="BG140">
            <v>8.3562610652850484</v>
          </cell>
          <cell r="BH140">
            <v>10.651020568888406</v>
          </cell>
          <cell r="BI140">
            <v>13.52768824938374</v>
          </cell>
          <cell r="BJ140">
            <v>17.059095222286775</v>
          </cell>
          <cell r="BL140">
            <v>319388.71956795006</v>
          </cell>
        </row>
        <row r="141">
          <cell r="A141">
            <v>10000640</v>
          </cell>
          <cell r="B141">
            <v>0</v>
          </cell>
          <cell r="C141" t="str">
            <v>CP14</v>
          </cell>
          <cell r="D141" t="str">
            <v>RPH</v>
          </cell>
          <cell r="E141">
            <v>34</v>
          </cell>
          <cell r="F141" t="str">
            <v>F</v>
          </cell>
          <cell r="G141">
            <v>34935</v>
          </cell>
          <cell r="H141">
            <v>4</v>
          </cell>
          <cell r="I141">
            <v>15537000</v>
          </cell>
          <cell r="J141">
            <v>252000</v>
          </cell>
          <cell r="K141">
            <v>212000</v>
          </cell>
          <cell r="L141">
            <v>848000</v>
          </cell>
          <cell r="M141">
            <v>14</v>
          </cell>
          <cell r="N141">
            <v>14</v>
          </cell>
          <cell r="O141">
            <v>0</v>
          </cell>
          <cell r="P141">
            <v>0</v>
          </cell>
          <cell r="Q141">
            <v>44000000</v>
          </cell>
          <cell r="R141">
            <v>181600</v>
          </cell>
          <cell r="T141">
            <v>0</v>
          </cell>
          <cell r="U141">
            <v>0</v>
          </cell>
          <cell r="W141">
            <v>6575670.1394907655</v>
          </cell>
          <cell r="X141">
            <v>0</v>
          </cell>
          <cell r="Y141">
            <v>12106.666666666666</v>
          </cell>
          <cell r="Z141">
            <v>0</v>
          </cell>
          <cell r="AB141">
            <v>617866.96557214076</v>
          </cell>
          <cell r="AC141">
            <v>0</v>
          </cell>
          <cell r="AD141">
            <v>145280</v>
          </cell>
          <cell r="AE141">
            <v>0</v>
          </cell>
          <cell r="AH141">
            <v>98</v>
          </cell>
          <cell r="AI141">
            <v>96</v>
          </cell>
          <cell r="AJ141">
            <v>1</v>
          </cell>
          <cell r="AK141">
            <v>3.9767456109425295E-2</v>
          </cell>
          <cell r="AL141">
            <v>0</v>
          </cell>
          <cell r="AM141">
            <v>5.6512674067796254E-3</v>
          </cell>
          <cell r="AN141">
            <v>4.8906951334945381E-2</v>
          </cell>
          <cell r="AO141">
            <v>9.6045020085593347E-2</v>
          </cell>
          <cell r="AP141">
            <v>0.14741576021735747</v>
          </cell>
          <cell r="AQ141">
            <v>0.20340011653572226</v>
          </cell>
          <cell r="AR141">
            <v>0.26441914522851351</v>
          </cell>
          <cell r="AS141">
            <v>0.33093465369791575</v>
          </cell>
          <cell r="AT141">
            <v>0.40345553238992948</v>
          </cell>
          <cell r="AU141">
            <v>0.4825394051448838</v>
          </cell>
          <cell r="AW141">
            <v>2</v>
          </cell>
          <cell r="AY141">
            <v>0</v>
          </cell>
          <cell r="AZ141">
            <v>0.8</v>
          </cell>
          <cell r="BA141">
            <v>0</v>
          </cell>
          <cell r="BC141">
            <v>4.6294408566885688</v>
          </cell>
          <cell r="BD141">
            <v>7.1993140940663416</v>
          </cell>
          <cell r="BE141">
            <v>8.8201227098868245</v>
          </cell>
          <cell r="BF141">
            <v>11.084609316224075</v>
          </cell>
          <cell r="BG141">
            <v>14.075632283556125</v>
          </cell>
          <cell r="BH141">
            <v>17.885983101759535</v>
          </cell>
          <cell r="BI141">
            <v>22.619684244891616</v>
          </cell>
          <cell r="BJ141">
            <v>28.393235317560205</v>
          </cell>
          <cell r="BL141">
            <v>351442.034112881</v>
          </cell>
        </row>
        <row r="142">
          <cell r="A142">
            <v>10000640</v>
          </cell>
          <cell r="B142">
            <v>2</v>
          </cell>
          <cell r="C142" t="str">
            <v>E12</v>
          </cell>
          <cell r="D142" t="str">
            <v>RPH</v>
          </cell>
          <cell r="E142">
            <v>34</v>
          </cell>
          <cell r="F142" t="str">
            <v>F</v>
          </cell>
          <cell r="G142">
            <v>34935</v>
          </cell>
          <cell r="H142">
            <v>4</v>
          </cell>
          <cell r="I142">
            <v>2330000</v>
          </cell>
          <cell r="J142">
            <v>40000</v>
          </cell>
          <cell r="K142">
            <v>40000</v>
          </cell>
          <cell r="L142">
            <v>160000</v>
          </cell>
          <cell r="M142">
            <v>12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T142">
            <v>0</v>
          </cell>
          <cell r="U142">
            <v>0</v>
          </cell>
          <cell r="W142">
            <v>1296900.2648827136</v>
          </cell>
          <cell r="X142">
            <v>0</v>
          </cell>
          <cell r="Y142">
            <v>0</v>
          </cell>
          <cell r="Z142">
            <v>0</v>
          </cell>
          <cell r="AB142">
            <v>117640.3666744456</v>
          </cell>
          <cell r="AC142">
            <v>0</v>
          </cell>
          <cell r="AD142">
            <v>0</v>
          </cell>
          <cell r="AE142">
            <v>0</v>
          </cell>
          <cell r="AH142">
            <v>98</v>
          </cell>
          <cell r="AI142">
            <v>96</v>
          </cell>
          <cell r="AJ142">
            <v>1</v>
          </cell>
          <cell r="AK142">
            <v>5.048942775727279E-2</v>
          </cell>
          <cell r="AL142">
            <v>0</v>
          </cell>
          <cell r="AM142">
            <v>1.6812680563867699E-2</v>
          </cell>
          <cell r="AN142">
            <v>7.2675565673453568E-2</v>
          </cell>
          <cell r="AO142">
            <v>0.13356572055007543</v>
          </cell>
          <cell r="AP142">
            <v>0.19993956884881242</v>
          </cell>
          <cell r="AQ142">
            <v>0.27229463161803746</v>
          </cell>
          <cell r="AR142">
            <v>0.35118073368845526</v>
          </cell>
          <cell r="AS142">
            <v>0.43720153848362675</v>
          </cell>
          <cell r="AT142">
            <v>0.53102211591416548</v>
          </cell>
          <cell r="AU142">
            <v>0.63337187523211891</v>
          </cell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5.8103242760765603</v>
          </cell>
          <cell r="BD142">
            <v>9.4226840138138268</v>
          </cell>
          <cell r="BE142">
            <v>11.599933394351599</v>
          </cell>
          <cell r="BF142">
            <v>14.609166545672785</v>
          </cell>
          <cell r="BG142">
            <v>18.557919483553921</v>
          </cell>
          <cell r="BH142">
            <v>23.566721798559875</v>
          </cell>
          <cell r="BI142">
            <v>29.770771844531875</v>
          </cell>
          <cell r="BJ142">
            <v>37.321601167225161</v>
          </cell>
          <cell r="BL142">
            <v>69365.898397759272</v>
          </cell>
        </row>
        <row r="143">
          <cell r="A143">
            <v>10000683</v>
          </cell>
          <cell r="B143">
            <v>0</v>
          </cell>
          <cell r="C143" t="str">
            <v>CP16</v>
          </cell>
          <cell r="D143" t="str">
            <v>RPH</v>
          </cell>
          <cell r="E143">
            <v>29</v>
          </cell>
          <cell r="F143" t="str">
            <v>M</v>
          </cell>
          <cell r="G143">
            <v>34953</v>
          </cell>
          <cell r="H143">
            <v>1</v>
          </cell>
          <cell r="I143">
            <v>20000000</v>
          </cell>
          <cell r="J143">
            <v>1147700</v>
          </cell>
          <cell r="K143">
            <v>842000</v>
          </cell>
          <cell r="L143">
            <v>842000</v>
          </cell>
          <cell r="M143">
            <v>16</v>
          </cell>
          <cell r="N143">
            <v>16</v>
          </cell>
          <cell r="O143">
            <v>0</v>
          </cell>
          <cell r="P143">
            <v>0</v>
          </cell>
          <cell r="Q143">
            <v>44000000</v>
          </cell>
          <cell r="R143">
            <v>140800</v>
          </cell>
          <cell r="T143">
            <v>0</v>
          </cell>
          <cell r="U143">
            <v>0</v>
          </cell>
          <cell r="W143">
            <v>7516127.9148945371</v>
          </cell>
          <cell r="X143">
            <v>0</v>
          </cell>
          <cell r="Y143">
            <v>103253.33333333333</v>
          </cell>
          <cell r="Z143">
            <v>0</v>
          </cell>
          <cell r="AB143">
            <v>629343.54817968223</v>
          </cell>
          <cell r="AC143">
            <v>0</v>
          </cell>
          <cell r="AD143">
            <v>112640</v>
          </cell>
          <cell r="AE143">
            <v>0</v>
          </cell>
          <cell r="AH143">
            <v>97</v>
          </cell>
          <cell r="AI143">
            <v>96</v>
          </cell>
          <cell r="AJ143">
            <v>1</v>
          </cell>
          <cell r="AK143">
            <v>3.1467177408984109E-2</v>
          </cell>
          <cell r="AL143">
            <v>0</v>
          </cell>
          <cell r="AM143">
            <v>1.2499444734356269E-3</v>
          </cell>
          <cell r="AN143">
            <v>3.5199580804440522E-2</v>
          </cell>
          <cell r="AO143">
            <v>7.2209622208216251E-2</v>
          </cell>
          <cell r="AP143">
            <v>0.11255333638584603</v>
          </cell>
          <cell r="AQ143">
            <v>0.15653190819914531</v>
          </cell>
          <cell r="AR143">
            <v>0.20447222922864372</v>
          </cell>
          <cell r="AS143">
            <v>0.25673193324861354</v>
          </cell>
          <cell r="AT143">
            <v>0.31370048597540345</v>
          </cell>
          <cell r="AU143">
            <v>0.37580639574472685</v>
          </cell>
          <cell r="AW143">
            <v>1</v>
          </cell>
          <cell r="AY143">
            <v>0</v>
          </cell>
          <cell r="AZ143">
            <v>0.8</v>
          </cell>
          <cell r="BA143">
            <v>0</v>
          </cell>
          <cell r="BC143">
            <v>3.7616387076413655</v>
          </cell>
          <cell r="BD143">
            <v>5.5700706159883158</v>
          </cell>
          <cell r="BE143">
            <v>6.7866204008304543</v>
          </cell>
          <cell r="BF143">
            <v>8.5110641118013497</v>
          </cell>
          <cell r="BG143">
            <v>10.808778708440272</v>
          </cell>
          <cell r="BH143">
            <v>13.752843132796738</v>
          </cell>
          <cell r="BI143">
            <v>17.42484581336009</v>
          </cell>
          <cell r="BJ143">
            <v>21.916046396781287</v>
          </cell>
          <cell r="BL143">
            <v>348496.91626720177</v>
          </cell>
        </row>
        <row r="144">
          <cell r="A144">
            <v>10000683</v>
          </cell>
          <cell r="B144">
            <v>1</v>
          </cell>
          <cell r="C144" t="str">
            <v>E10</v>
          </cell>
          <cell r="D144" t="str">
            <v>RPH</v>
          </cell>
          <cell r="E144">
            <v>29</v>
          </cell>
          <cell r="F144" t="str">
            <v>M</v>
          </cell>
          <cell r="G144">
            <v>34953</v>
          </cell>
          <cell r="H144">
            <v>1</v>
          </cell>
          <cell r="I144">
            <v>2000000</v>
          </cell>
          <cell r="J144">
            <v>163200</v>
          </cell>
          <cell r="K144">
            <v>163200</v>
          </cell>
          <cell r="L144">
            <v>163200</v>
          </cell>
          <cell r="M144">
            <v>10</v>
          </cell>
          <cell r="N144">
            <v>10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1703136.2797669198</v>
          </cell>
          <cell r="X144">
            <v>0</v>
          </cell>
          <cell r="Y144">
            <v>0</v>
          </cell>
          <cell r="Z144">
            <v>0</v>
          </cell>
          <cell r="AB144">
            <v>131726.10555418077</v>
          </cell>
          <cell r="AC144">
            <v>0</v>
          </cell>
          <cell r="AD144">
            <v>0</v>
          </cell>
          <cell r="AE144">
            <v>0</v>
          </cell>
          <cell r="AH144">
            <v>97</v>
          </cell>
          <cell r="AI144">
            <v>96</v>
          </cell>
          <cell r="AJ144">
            <v>1</v>
          </cell>
          <cell r="AK144">
            <v>6.5863052777090383E-2</v>
          </cell>
          <cell r="AL144">
            <v>0</v>
          </cell>
          <cell r="AM144">
            <v>3.2836207718314525E-2</v>
          </cell>
          <cell r="AN144">
            <v>0.10689098717812562</v>
          </cell>
          <cell r="AO144">
            <v>0.18765502094817427</v>
          </cell>
          <cell r="AP144">
            <v>0.27573530548052294</v>
          </cell>
          <cell r="AQ144">
            <v>0.37179985401284177</v>
          </cell>
          <cell r="AR144">
            <v>0.47657728014263501</v>
          </cell>
          <cell r="AS144">
            <v>0.59086650504671967</v>
          </cell>
          <cell r="AT144">
            <v>0.71554257922738207</v>
          </cell>
          <cell r="AU144">
            <v>0.85156813988345992</v>
          </cell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7.5009464575823532</v>
          </cell>
          <cell r="BD144">
            <v>12.613124156255186</v>
          </cell>
          <cell r="BE144">
            <v>15.593871992939601</v>
          </cell>
          <cell r="BF144">
            <v>19.679485874818091</v>
          </cell>
          <cell r="BG144">
            <v>25.013260201237635</v>
          </cell>
          <cell r="BH144">
            <v>31.755649249873606</v>
          </cell>
          <cell r="BI144">
            <v>40.086263404228646</v>
          </cell>
          <cell r="BJ144">
            <v>50.20632303624464</v>
          </cell>
          <cell r="BL144">
            <v>80172.526808457289</v>
          </cell>
        </row>
        <row r="145">
          <cell r="A145">
            <v>10000683</v>
          </cell>
          <cell r="B145">
            <v>2</v>
          </cell>
          <cell r="C145" t="str">
            <v>E13</v>
          </cell>
          <cell r="D145" t="str">
            <v>RPH</v>
          </cell>
          <cell r="E145">
            <v>29</v>
          </cell>
          <cell r="F145" t="str">
            <v>M</v>
          </cell>
          <cell r="G145">
            <v>34953</v>
          </cell>
          <cell r="H145">
            <v>1</v>
          </cell>
          <cell r="I145">
            <v>2500000</v>
          </cell>
          <cell r="J145">
            <v>142500</v>
          </cell>
          <cell r="K145">
            <v>142500</v>
          </cell>
          <cell r="L145">
            <v>142500</v>
          </cell>
          <cell r="M145">
            <v>13</v>
          </cell>
          <cell r="N145">
            <v>13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W145">
            <v>1379000.5464373433</v>
          </cell>
          <cell r="X145">
            <v>0</v>
          </cell>
          <cell r="Y145">
            <v>0</v>
          </cell>
          <cell r="Z145">
            <v>0</v>
          </cell>
          <cell r="AB145">
            <v>111462.94747665647</v>
          </cell>
          <cell r="AC145">
            <v>0</v>
          </cell>
          <cell r="AD145">
            <v>0</v>
          </cell>
          <cell r="AE145">
            <v>0</v>
          </cell>
          <cell r="AH145">
            <v>97</v>
          </cell>
          <cell r="AI145">
            <v>96</v>
          </cell>
          <cell r="AJ145">
            <v>1</v>
          </cell>
          <cell r="AK145">
            <v>4.458517899066259E-2</v>
          </cell>
          <cell r="AL145">
            <v>0</v>
          </cell>
          <cell r="AM145">
            <v>1.0669735206587871E-2</v>
          </cell>
          <cell r="AN145">
            <v>5.9654068606929789E-2</v>
          </cell>
          <cell r="AO145">
            <v>0.11306395554895166</v>
          </cell>
          <cell r="AP145">
            <v>0.17129688186958014</v>
          </cell>
          <cell r="AQ145">
            <v>0.234790648857575</v>
          </cell>
          <cell r="AR145">
            <v>0.30402147617881675</v>
          </cell>
          <cell r="AS145">
            <v>0.3795108926725041</v>
          </cell>
          <cell r="AT145">
            <v>0.46182831899671184</v>
          </cell>
          <cell r="AU145">
            <v>0.55160021857493735</v>
          </cell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5.159178159724882</v>
          </cell>
          <cell r="BD145">
            <v>8.2009670328123185</v>
          </cell>
          <cell r="BE145">
            <v>10.075691178330619</v>
          </cell>
          <cell r="BF145">
            <v>12.680887187136229</v>
          </cell>
          <cell r="BG145">
            <v>16.110902044060431</v>
          </cell>
          <cell r="BH145">
            <v>20.47127998241583</v>
          </cell>
          <cell r="BI145">
            <v>25.879995754740129</v>
          </cell>
          <cell r="BJ145">
            <v>32.469100782678055</v>
          </cell>
          <cell r="BL145">
            <v>64699.98938685032</v>
          </cell>
        </row>
        <row r="146">
          <cell r="A146">
            <v>10000736</v>
          </cell>
          <cell r="B146">
            <v>0</v>
          </cell>
          <cell r="C146" t="str">
            <v>CP16</v>
          </cell>
          <cell r="D146" t="str">
            <v>RPH</v>
          </cell>
          <cell r="E146">
            <v>37</v>
          </cell>
          <cell r="F146" t="str">
            <v>M</v>
          </cell>
          <cell r="G146">
            <v>34976</v>
          </cell>
          <cell r="H146">
            <v>2</v>
          </cell>
          <cell r="I146">
            <v>35000000</v>
          </cell>
          <cell r="J146">
            <v>888800</v>
          </cell>
          <cell r="K146">
            <v>769800</v>
          </cell>
          <cell r="L146">
            <v>1539600</v>
          </cell>
          <cell r="M146">
            <v>16</v>
          </cell>
          <cell r="N146">
            <v>16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T146">
            <v>0</v>
          </cell>
          <cell r="U146">
            <v>0</v>
          </cell>
          <cell r="W146">
            <v>12072028.215291128</v>
          </cell>
          <cell r="X146">
            <v>0</v>
          </cell>
          <cell r="Y146">
            <v>0</v>
          </cell>
          <cell r="Z146">
            <v>0</v>
          </cell>
          <cell r="AB146">
            <v>1108804.4720445056</v>
          </cell>
          <cell r="AC146">
            <v>0</v>
          </cell>
          <cell r="AD146">
            <v>0</v>
          </cell>
          <cell r="AE146">
            <v>0</v>
          </cell>
          <cell r="AH146">
            <v>96</v>
          </cell>
          <cell r="AI146">
            <v>96</v>
          </cell>
          <cell r="AJ146">
            <v>1</v>
          </cell>
          <cell r="AK146">
            <v>3.1680127772700163E-2</v>
          </cell>
          <cell r="AL146">
            <v>0</v>
          </cell>
          <cell r="AM146">
            <v>1.810909441639863E-3</v>
          </cell>
          <cell r="AN146">
            <v>3.5799191871562774E-2</v>
          </cell>
          <cell r="AO146">
            <v>7.2817711700213117E-2</v>
          </cell>
          <cell r="AP146">
            <v>0.11313909880262724</v>
          </cell>
          <cell r="AQ146">
            <v>0.15706475608467493</v>
          </cell>
          <cell r="AR146">
            <v>0.20492505125109747</v>
          </cell>
          <cell r="AS146">
            <v>0.25708015420593855</v>
          </cell>
          <cell r="AT146">
            <v>0.31392741451598116</v>
          </cell>
          <cell r="AU146">
            <v>0.37590276921494037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3.7937394902690489</v>
          </cell>
          <cell r="BD146">
            <v>5.6136837401676845</v>
          </cell>
          <cell r="BE146">
            <v>6.8310230022638603</v>
          </cell>
          <cell r="BF146">
            <v>8.5552991435922312</v>
          </cell>
          <cell r="BG146">
            <v>10.851562805667344</v>
          </cell>
          <cell r="BH146">
            <v>13.792604730654707</v>
          </cell>
          <cell r="BI146">
            <v>17.460040665174198</v>
          </cell>
          <cell r="BJ146">
            <v>21.945306912227984</v>
          </cell>
          <cell r="BL146">
            <v>611101.42328109697</v>
          </cell>
        </row>
        <row r="147">
          <cell r="A147">
            <v>10000736</v>
          </cell>
          <cell r="B147">
            <v>1</v>
          </cell>
          <cell r="C147" t="str">
            <v>E13</v>
          </cell>
          <cell r="D147" t="str">
            <v>RPH</v>
          </cell>
          <cell r="E147">
            <v>37</v>
          </cell>
          <cell r="F147" t="str">
            <v>M</v>
          </cell>
          <cell r="G147">
            <v>34976</v>
          </cell>
          <cell r="H147">
            <v>2</v>
          </cell>
          <cell r="I147">
            <v>4000000</v>
          </cell>
          <cell r="J147">
            <v>119000</v>
          </cell>
          <cell r="K147">
            <v>119000</v>
          </cell>
          <cell r="L147">
            <v>238000</v>
          </cell>
          <cell r="M147">
            <v>13</v>
          </cell>
          <cell r="N147">
            <v>13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W147">
            <v>2026127.212008208</v>
          </cell>
          <cell r="X147">
            <v>0</v>
          </cell>
          <cell r="Y147">
            <v>0</v>
          </cell>
          <cell r="Z147">
            <v>0</v>
          </cell>
          <cell r="AB147">
            <v>179252.2847040623</v>
          </cell>
          <cell r="AC147">
            <v>0</v>
          </cell>
          <cell r="AD147">
            <v>0</v>
          </cell>
          <cell r="AE147">
            <v>0</v>
          </cell>
          <cell r="AH147">
            <v>96</v>
          </cell>
          <cell r="AI147">
            <v>96</v>
          </cell>
          <cell r="AJ147">
            <v>1</v>
          </cell>
          <cell r="AK147">
            <v>4.4813071176015573E-2</v>
          </cell>
          <cell r="AL147">
            <v>0</v>
          </cell>
          <cell r="AM147">
            <v>1.1190696024296176E-2</v>
          </cell>
          <cell r="AN147">
            <v>6.0166765139942069E-2</v>
          </cell>
          <cell r="AO147">
            <v>0.11353227383852799</v>
          </cell>
          <cell r="AP147">
            <v>0.17168689227102996</v>
          </cell>
          <cell r="AQ147">
            <v>0.23507252551807062</v>
          </cell>
          <cell r="AR147">
            <v>0.30417428996395146</v>
          </cell>
          <cell r="AS147">
            <v>0.37952274296940747</v>
          </cell>
          <cell r="AT147">
            <v>0.46170348147443063</v>
          </cell>
          <cell r="AU147">
            <v>0.55136012452967353</v>
          </cell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5.1926438225828857</v>
          </cell>
          <cell r="BD147">
            <v>8.2437421083761517</v>
          </cell>
          <cell r="BE147">
            <v>10.117392795422459</v>
          </cell>
          <cell r="BF147">
            <v>12.720145075581186</v>
          </cell>
          <cell r="BG147">
            <v>16.146252679725794</v>
          </cell>
          <cell r="BH147">
            <v>20.501361622018461</v>
          </cell>
          <cell r="BI147">
            <v>25.904073703129853</v>
          </cell>
          <cell r="BJ147">
            <v>32.487459703971851</v>
          </cell>
          <cell r="BL147">
            <v>103616.29481251942</v>
          </cell>
        </row>
        <row r="148">
          <cell r="A148">
            <v>10000744</v>
          </cell>
          <cell r="B148">
            <v>0</v>
          </cell>
          <cell r="C148" t="str">
            <v>CP14</v>
          </cell>
          <cell r="D148" t="str">
            <v>RPH</v>
          </cell>
          <cell r="E148">
            <v>32</v>
          </cell>
          <cell r="F148" t="str">
            <v>M</v>
          </cell>
          <cell r="G148">
            <v>34985</v>
          </cell>
          <cell r="H148">
            <v>1</v>
          </cell>
          <cell r="I148">
            <v>20000000</v>
          </cell>
          <cell r="J148">
            <v>1396500</v>
          </cell>
          <cell r="K148">
            <v>1032000</v>
          </cell>
          <cell r="L148">
            <v>1032000</v>
          </cell>
          <cell r="M148">
            <v>14</v>
          </cell>
          <cell r="N148">
            <v>14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T148">
            <v>42200</v>
          </cell>
          <cell r="U148">
            <v>32000</v>
          </cell>
          <cell r="W148">
            <v>9651521.6676657852</v>
          </cell>
          <cell r="X148">
            <v>0</v>
          </cell>
          <cell r="Y148">
            <v>0</v>
          </cell>
          <cell r="Z148">
            <v>64000</v>
          </cell>
          <cell r="AB148">
            <v>794835.42803444644</v>
          </cell>
          <cell r="AC148">
            <v>0</v>
          </cell>
          <cell r="AD148">
            <v>0</v>
          </cell>
          <cell r="AE148">
            <v>32000</v>
          </cell>
          <cell r="AH148">
            <v>96</v>
          </cell>
          <cell r="AI148">
            <v>96</v>
          </cell>
          <cell r="AJ148">
            <v>1</v>
          </cell>
          <cell r="AK148">
            <v>3.9741771401722324E-2</v>
          </cell>
          <cell r="AL148">
            <v>0</v>
          </cell>
          <cell r="AM148">
            <v>5.66341920274821E-3</v>
          </cell>
          <cell r="AN148">
            <v>4.8893707775082174E-2</v>
          </cell>
          <cell r="AO148">
            <v>9.6015060834182708E-2</v>
          </cell>
          <cell r="AP148">
            <v>0.1473781262200704</v>
          </cell>
          <cell r="AQ148">
            <v>0.2033643011379162</v>
          </cell>
          <cell r="AR148">
            <v>0.26439431387336559</v>
          </cell>
          <cell r="AS148">
            <v>0.33092917135289146</v>
          </cell>
          <cell r="AT148">
            <v>0.40347222179779302</v>
          </cell>
          <cell r="AU148">
            <v>0.48257608338328928</v>
          </cell>
          <cell r="AW148">
            <v>0</v>
          </cell>
          <cell r="AY148">
            <v>0</v>
          </cell>
          <cell r="AZ148">
            <v>0</v>
          </cell>
          <cell r="BA148">
            <v>1</v>
          </cell>
          <cell r="BC148">
            <v>4.6270374242329826</v>
          </cell>
          <cell r="BD148">
            <v>7.1949204977760406</v>
          </cell>
          <cell r="BE148">
            <v>8.8152368656431594</v>
          </cell>
          <cell r="BF148">
            <v>11.079474741936782</v>
          </cell>
          <cell r="BG148">
            <v>14.070631964229655</v>
          </cell>
          <cell r="BH148">
            <v>17.881613502641514</v>
          </cell>
          <cell r="BI148">
            <v>22.616317692805751</v>
          </cell>
          <cell r="BJ148">
            <v>28.391033357428576</v>
          </cell>
          <cell r="BL148">
            <v>452326.35385611502</v>
          </cell>
        </row>
        <row r="149">
          <cell r="A149">
            <v>10000744</v>
          </cell>
          <cell r="B149">
            <v>2</v>
          </cell>
          <cell r="C149" t="str">
            <v>E11</v>
          </cell>
          <cell r="D149" t="str">
            <v>RPH</v>
          </cell>
          <cell r="E149">
            <v>32</v>
          </cell>
          <cell r="F149" t="str">
            <v>M</v>
          </cell>
          <cell r="G149">
            <v>34985</v>
          </cell>
          <cell r="H149">
            <v>1</v>
          </cell>
          <cell r="I149">
            <v>5000000</v>
          </cell>
          <cell r="J149">
            <v>364500</v>
          </cell>
          <cell r="K149">
            <v>364500</v>
          </cell>
          <cell r="L149">
            <v>364500</v>
          </cell>
          <cell r="M149">
            <v>11</v>
          </cell>
          <cell r="N149">
            <v>11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T149">
            <v>10200</v>
          </cell>
          <cell r="U149">
            <v>10200</v>
          </cell>
          <cell r="W149">
            <v>3658630.0387320691</v>
          </cell>
          <cell r="X149">
            <v>0</v>
          </cell>
          <cell r="Y149">
            <v>0</v>
          </cell>
          <cell r="Z149">
            <v>20400</v>
          </cell>
          <cell r="AB149">
            <v>287192.06600503996</v>
          </cell>
          <cell r="AC149">
            <v>0</v>
          </cell>
          <cell r="AD149">
            <v>0</v>
          </cell>
          <cell r="AE149">
            <v>10200</v>
          </cell>
          <cell r="AH149">
            <v>96</v>
          </cell>
          <cell r="AI149">
            <v>96</v>
          </cell>
          <cell r="AJ149">
            <v>1</v>
          </cell>
          <cell r="AK149">
            <v>5.7438413201007989E-2</v>
          </cell>
          <cell r="AL149">
            <v>0</v>
          </cell>
          <cell r="AM149">
            <v>2.4087071687795558E-2</v>
          </cell>
          <cell r="AN149">
            <v>8.8136811140463067E-2</v>
          </cell>
          <cell r="AO149">
            <v>0.15797201128200228</v>
          </cell>
          <cell r="AP149">
            <v>0.23411833516247371</v>
          </cell>
          <cell r="AQ149">
            <v>0.31714930189823914</v>
          </cell>
          <cell r="AR149">
            <v>0.40769744694920018</v>
          </cell>
          <cell r="AS149">
            <v>0.50645681225491546</v>
          </cell>
          <cell r="AT149">
            <v>0.6141876077171593</v>
          </cell>
          <cell r="AU149">
            <v>0.73172600774641383</v>
          </cell>
          <cell r="AW149">
            <v>0</v>
          </cell>
          <cell r="AY149">
            <v>0</v>
          </cell>
          <cell r="AZ149">
            <v>0</v>
          </cell>
          <cell r="BA149">
            <v>1</v>
          </cell>
          <cell r="BC149">
            <v>6.5757229275385942</v>
          </cell>
          <cell r="BD149">
            <v>10.864605255291316</v>
          </cell>
          <cell r="BE149">
            <v>13.403834986141906</v>
          </cell>
          <cell r="BF149">
            <v>16.898048424893599</v>
          </cell>
          <cell r="BG149">
            <v>21.47099821475485</v>
          </cell>
          <cell r="BH149">
            <v>27.261363257237925</v>
          </cell>
          <cell r="BI149">
            <v>34.424477204705923</v>
          </cell>
          <cell r="BJ149">
            <v>43.134455892404766</v>
          </cell>
          <cell r="BL149">
            <v>172122.38602352963</v>
          </cell>
        </row>
        <row r="150">
          <cell r="A150">
            <v>10000745</v>
          </cell>
          <cell r="B150">
            <v>0</v>
          </cell>
          <cell r="C150" t="str">
            <v>CP14</v>
          </cell>
          <cell r="D150" t="str">
            <v>RPH</v>
          </cell>
          <cell r="E150">
            <v>44</v>
          </cell>
          <cell r="F150" t="str">
            <v>M</v>
          </cell>
          <cell r="G150">
            <v>34978</v>
          </cell>
          <cell r="H150">
            <v>4</v>
          </cell>
          <cell r="I150">
            <v>30000000</v>
          </cell>
          <cell r="J150">
            <v>471700</v>
          </cell>
          <cell r="K150">
            <v>412600</v>
          </cell>
          <cell r="L150">
            <v>1650400</v>
          </cell>
          <cell r="M150">
            <v>14</v>
          </cell>
          <cell r="N150">
            <v>14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T150">
            <v>30600</v>
          </cell>
          <cell r="U150">
            <v>107600</v>
          </cell>
          <cell r="W150">
            <v>12696624.782613233</v>
          </cell>
          <cell r="X150">
            <v>0</v>
          </cell>
          <cell r="Y150">
            <v>0</v>
          </cell>
          <cell r="Z150">
            <v>215200</v>
          </cell>
          <cell r="AB150">
            <v>1207840.5018204751</v>
          </cell>
          <cell r="AC150">
            <v>0</v>
          </cell>
          <cell r="AD150">
            <v>0</v>
          </cell>
          <cell r="AE150">
            <v>107600</v>
          </cell>
          <cell r="AH150">
            <v>96</v>
          </cell>
          <cell r="AI150">
            <v>96</v>
          </cell>
          <cell r="AJ150">
            <v>1</v>
          </cell>
          <cell r="AK150">
            <v>4.0261350060682502E-2</v>
          </cell>
          <cell r="AL150">
            <v>0</v>
          </cell>
          <cell r="AM150">
            <v>7.3939452502667646E-3</v>
          </cell>
          <cell r="AN150">
            <v>5.0501464566594267E-2</v>
          </cell>
          <cell r="AO150">
            <v>9.7446224418897665E-2</v>
          </cell>
          <cell r="AP150">
            <v>0.14858701058916751</v>
          </cell>
          <cell r="AQ150">
            <v>0.20431572413772642</v>
          </cell>
          <cell r="AR150">
            <v>0.26505923738307413</v>
          </cell>
          <cell r="AS150">
            <v>0.33128922517602366</v>
          </cell>
          <cell r="AT150">
            <v>0.4035194607897471</v>
          </cell>
          <cell r="AU150">
            <v>0.48232492197918975</v>
          </cell>
          <cell r="AW150">
            <v>0</v>
          </cell>
          <cell r="AY150">
            <v>0</v>
          </cell>
          <cell r="AZ150">
            <v>0</v>
          </cell>
          <cell r="BA150">
            <v>1</v>
          </cell>
          <cell r="BC150">
            <v>4.7129344223331433</v>
          </cell>
          <cell r="BD150">
            <v>7.2993654354802597</v>
          </cell>
          <cell r="BE150">
            <v>8.9154686997572306</v>
          </cell>
          <cell r="BF150">
            <v>11.173249689852897</v>
          </cell>
          <cell r="BG150">
            <v>14.155532328184293</v>
          </cell>
          <cell r="BH150">
            <v>17.955383700625713</v>
          </cell>
          <cell r="BI150">
            <v>22.677096475542591</v>
          </cell>
          <cell r="BJ150">
            <v>28.438218513922592</v>
          </cell>
          <cell r="BL150">
            <v>680312.89426627767</v>
          </cell>
        </row>
        <row r="151">
          <cell r="A151">
            <v>10000745</v>
          </cell>
          <cell r="B151">
            <v>2</v>
          </cell>
          <cell r="C151" t="str">
            <v>E11</v>
          </cell>
          <cell r="D151" t="str">
            <v>RPH</v>
          </cell>
          <cell r="E151">
            <v>44</v>
          </cell>
          <cell r="F151" t="str">
            <v>M</v>
          </cell>
          <cell r="G151">
            <v>34978</v>
          </cell>
          <cell r="H151">
            <v>4</v>
          </cell>
          <cell r="I151">
            <v>3000000</v>
          </cell>
          <cell r="J151">
            <v>59100</v>
          </cell>
          <cell r="K151">
            <v>59100</v>
          </cell>
          <cell r="L151">
            <v>236400</v>
          </cell>
          <cell r="M151">
            <v>11</v>
          </cell>
          <cell r="N151">
            <v>11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T151">
            <v>3700</v>
          </cell>
          <cell r="U151">
            <v>14800</v>
          </cell>
          <cell r="W151">
            <v>1928659.2978498947</v>
          </cell>
          <cell r="X151">
            <v>0</v>
          </cell>
          <cell r="Y151">
            <v>0</v>
          </cell>
          <cell r="Z151">
            <v>29600</v>
          </cell>
          <cell r="AB151">
            <v>173925.83470708953</v>
          </cell>
          <cell r="AC151">
            <v>0</v>
          </cell>
          <cell r="AD151">
            <v>0</v>
          </cell>
          <cell r="AE151">
            <v>14800</v>
          </cell>
          <cell r="AH151">
            <v>96</v>
          </cell>
          <cell r="AI151">
            <v>96</v>
          </cell>
          <cell r="AJ151">
            <v>1</v>
          </cell>
          <cell r="AK151">
            <v>5.7975278235696509E-2</v>
          </cell>
          <cell r="AL151">
            <v>0</v>
          </cell>
          <cell r="AM151">
            <v>2.5691796675981704E-2</v>
          </cell>
          <cell r="AN151">
            <v>8.9442350574836071E-2</v>
          </cell>
          <cell r="AO151">
            <v>0.15892937846931865</v>
          </cell>
          <cell r="AP151">
            <v>0.2346988611365684</v>
          </cell>
          <cell r="AQ151">
            <v>0.31734967352524557</v>
          </cell>
          <cell r="AR151">
            <v>0.40753833832954822</v>
          </cell>
          <cell r="AS151">
            <v>0.50599281528566009</v>
          </cell>
          <cell r="AT151">
            <v>0.61351457821721012</v>
          </cell>
          <cell r="AU151">
            <v>0.73100199581489589</v>
          </cell>
          <cell r="AW151">
            <v>0</v>
          </cell>
          <cell r="AY151">
            <v>0</v>
          </cell>
          <cell r="AZ151">
            <v>0</v>
          </cell>
          <cell r="BA151">
            <v>1</v>
          </cell>
          <cell r="BC151">
            <v>6.6662777079535385</v>
          </cell>
          <cell r="BD151">
            <v>10.966654945606894</v>
          </cell>
          <cell r="BE151">
            <v>13.496904850961005</v>
          </cell>
          <cell r="BF151">
            <v>16.979937486038448</v>
          </cell>
          <cell r="BG151">
            <v>21.5405463225405</v>
          </cell>
          <cell r="BH151">
            <v>27.319379208549478</v>
          </cell>
          <cell r="BI151">
            <v>34.474805700546135</v>
          </cell>
          <cell r="BJ151">
            <v>43.1859340306275</v>
          </cell>
          <cell r="BL151">
            <v>103424.41710163841</v>
          </cell>
        </row>
        <row r="152">
          <cell r="A152">
            <v>10000746</v>
          </cell>
          <cell r="B152">
            <v>0</v>
          </cell>
          <cell r="C152" t="str">
            <v>CP16</v>
          </cell>
          <cell r="D152" t="str">
            <v>RPH</v>
          </cell>
          <cell r="E152">
            <v>32</v>
          </cell>
          <cell r="F152" t="str">
            <v>M</v>
          </cell>
          <cell r="G152">
            <v>34985</v>
          </cell>
          <cell r="H152">
            <v>1</v>
          </cell>
          <cell r="I152">
            <v>20000000</v>
          </cell>
          <cell r="J152">
            <v>1374600</v>
          </cell>
          <cell r="K152">
            <v>844000</v>
          </cell>
          <cell r="L152">
            <v>844000</v>
          </cell>
          <cell r="M152">
            <v>16</v>
          </cell>
          <cell r="N152">
            <v>16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T152">
            <v>43050</v>
          </cell>
          <cell r="U152">
            <v>27850</v>
          </cell>
          <cell r="W152">
            <v>7517114.7561567044</v>
          </cell>
          <cell r="X152">
            <v>0</v>
          </cell>
          <cell r="Y152">
            <v>0</v>
          </cell>
          <cell r="Z152">
            <v>55700</v>
          </cell>
          <cell r="AB152">
            <v>630581.11866546446</v>
          </cell>
          <cell r="AC152">
            <v>0</v>
          </cell>
          <cell r="AD152">
            <v>0</v>
          </cell>
          <cell r="AE152">
            <v>27850</v>
          </cell>
          <cell r="AH152">
            <v>96</v>
          </cell>
          <cell r="AI152">
            <v>96</v>
          </cell>
          <cell r="AJ152">
            <v>1</v>
          </cell>
          <cell r="AK152">
            <v>3.1529055933273223E-2</v>
          </cell>
          <cell r="AL152">
            <v>0</v>
          </cell>
          <cell r="AM152">
            <v>1.3591554834985198E-3</v>
          </cell>
          <cell r="AN152">
            <v>3.5333520201863866E-2</v>
          </cell>
          <cell r="AO152">
            <v>7.2359879514190983E-2</v>
          </cell>
          <cell r="AP152">
            <v>0.11271201435541228</v>
          </cell>
          <cell r="AQ152">
            <v>0.15668720471676789</v>
          </cell>
          <cell r="AR152">
            <v>0.20461340858675567</v>
          </cell>
          <cell r="AS152">
            <v>0.25684969706586441</v>
          </cell>
          <cell r="AT152">
            <v>0.31378741205296257</v>
          </cell>
          <cell r="AU152">
            <v>0.37585573780783521</v>
          </cell>
          <cell r="AW152">
            <v>0</v>
          </cell>
          <cell r="AY152">
            <v>0</v>
          </cell>
          <cell r="AZ152">
            <v>0</v>
          </cell>
          <cell r="BA152">
            <v>1</v>
          </cell>
          <cell r="BC152">
            <v>3.7700491497882003</v>
          </cell>
          <cell r="BD152">
            <v>5.5823320447977398</v>
          </cell>
          <cell r="BE152">
            <v>6.7996221006267037</v>
          </cell>
          <cell r="BF152">
            <v>8.524558386935059</v>
          </cell>
          <cell r="BG152">
            <v>10.822374068994081</v>
          </cell>
          <cell r="BH152">
            <v>13.766043471419625</v>
          </cell>
          <cell r="BI152">
            <v>17.437102784669751</v>
          </cell>
          <cell r="BJ152">
            <v>21.926736247472991</v>
          </cell>
          <cell r="BL152">
            <v>348742.05569339503</v>
          </cell>
        </row>
        <row r="153">
          <cell r="A153">
            <v>10000746</v>
          </cell>
          <cell r="B153">
            <v>2</v>
          </cell>
          <cell r="C153" t="str">
            <v>E10</v>
          </cell>
          <cell r="D153" t="str">
            <v>RPH</v>
          </cell>
          <cell r="E153">
            <v>32</v>
          </cell>
          <cell r="F153" t="str">
            <v>M</v>
          </cell>
          <cell r="G153">
            <v>34985</v>
          </cell>
          <cell r="H153">
            <v>1</v>
          </cell>
          <cell r="I153">
            <v>3000000</v>
          </cell>
          <cell r="J153">
            <v>245100</v>
          </cell>
          <cell r="K153">
            <v>245100</v>
          </cell>
          <cell r="L153">
            <v>245100</v>
          </cell>
          <cell r="M153">
            <v>10</v>
          </cell>
          <cell r="N153">
            <v>10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T153">
            <v>6600</v>
          </cell>
          <cell r="U153">
            <v>6600</v>
          </cell>
          <cell r="W153">
            <v>2554525.0305707566</v>
          </cell>
          <cell r="X153">
            <v>0</v>
          </cell>
          <cell r="Y153">
            <v>0</v>
          </cell>
          <cell r="Z153">
            <v>13200</v>
          </cell>
          <cell r="AB153">
            <v>197768.5474108943</v>
          </cell>
          <cell r="AC153">
            <v>0</v>
          </cell>
          <cell r="AD153">
            <v>0</v>
          </cell>
          <cell r="AE153">
            <v>6600</v>
          </cell>
          <cell r="AH153">
            <v>96</v>
          </cell>
          <cell r="AI153">
            <v>96</v>
          </cell>
          <cell r="AJ153">
            <v>1</v>
          </cell>
          <cell r="AK153">
            <v>6.5922849136964765E-2</v>
          </cell>
          <cell r="AL153">
            <v>0</v>
          </cell>
          <cell r="AM153">
            <v>3.2923999607920362E-2</v>
          </cell>
          <cell r="AN153">
            <v>0.10697302328196284</v>
          </cell>
          <cell r="AO153">
            <v>0.18771990654311549</v>
          </cell>
          <cell r="AP153">
            <v>0.27577513563629036</v>
          </cell>
          <cell r="AQ153">
            <v>0.37180555146603717</v>
          </cell>
          <cell r="AR153">
            <v>0.47654657886308904</v>
          </cell>
          <cell r="AS153">
            <v>0.59080558375796632</v>
          </cell>
          <cell r="AT153">
            <v>0.71546797700832609</v>
          </cell>
          <cell r="AU153">
            <v>0.85150834352358562</v>
          </cell>
          <cell r="AW153">
            <v>0</v>
          </cell>
          <cell r="AY153">
            <v>0</v>
          </cell>
          <cell r="AZ153">
            <v>0</v>
          </cell>
          <cell r="BA153">
            <v>1</v>
          </cell>
          <cell r="BC153">
            <v>7.509060410715314</v>
          </cell>
          <cell r="BD153">
            <v>12.623316985963957</v>
          </cell>
          <cell r="BE153">
            <v>15.603612503693409</v>
          </cell>
          <cell r="BF153">
            <v>19.688330315921391</v>
          </cell>
          <cell r="BG153">
            <v>25.02088009434792</v>
          </cell>
          <cell r="BH153">
            <v>31.762037519008224</v>
          </cell>
          <cell r="BI153">
            <v>40.09199504853801</v>
          </cell>
          <cell r="BJ153">
            <v>50.212848006889061</v>
          </cell>
          <cell r="BL153">
            <v>120275.98514561403</v>
          </cell>
        </row>
        <row r="154">
          <cell r="A154">
            <v>10000746</v>
          </cell>
          <cell r="B154">
            <v>3</v>
          </cell>
          <cell r="C154" t="str">
            <v>E13</v>
          </cell>
          <cell r="D154" t="str">
            <v>RPH</v>
          </cell>
          <cell r="E154">
            <v>32</v>
          </cell>
          <cell r="F154" t="str">
            <v>M</v>
          </cell>
          <cell r="G154">
            <v>34985</v>
          </cell>
          <cell r="H154">
            <v>1</v>
          </cell>
          <cell r="I154">
            <v>5000000</v>
          </cell>
          <cell r="J154">
            <v>285500</v>
          </cell>
          <cell r="K154">
            <v>285500</v>
          </cell>
          <cell r="L154">
            <v>285500</v>
          </cell>
          <cell r="M154">
            <v>13</v>
          </cell>
          <cell r="N154">
            <v>13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T154">
            <v>8600</v>
          </cell>
          <cell r="U154">
            <v>8600</v>
          </cell>
          <cell r="W154">
            <v>2757744.287681405</v>
          </cell>
          <cell r="X154">
            <v>0</v>
          </cell>
          <cell r="Y154">
            <v>0</v>
          </cell>
          <cell r="Z154">
            <v>17200</v>
          </cell>
          <cell r="AB154">
            <v>223242.83490692882</v>
          </cell>
          <cell r="AC154">
            <v>0</v>
          </cell>
          <cell r="AD154">
            <v>0</v>
          </cell>
          <cell r="AE154">
            <v>8600</v>
          </cell>
          <cell r="AH154">
            <v>96</v>
          </cell>
          <cell r="AI154">
            <v>96</v>
          </cell>
          <cell r="AJ154">
            <v>1</v>
          </cell>
          <cell r="AK154">
            <v>4.4648566981385765E-2</v>
          </cell>
          <cell r="AL154">
            <v>0</v>
          </cell>
          <cell r="AM154">
            <v>1.0770062280728077E-2</v>
          </cell>
          <cell r="AN154">
            <v>5.9767162804966023E-2</v>
          </cell>
          <cell r="AO154">
            <v>0.11317922071545394</v>
          </cell>
          <cell r="AP154">
            <v>0.17140510939539289</v>
          </cell>
          <cell r="AQ154">
            <v>0.23487909698685738</v>
          </cell>
          <cell r="AR154">
            <v>0.30408019814911658</v>
          </cell>
          <cell r="AS154">
            <v>0.37953350735592517</v>
          </cell>
          <cell r="AT154">
            <v>0.46181291746806108</v>
          </cell>
          <cell r="AU154">
            <v>0.55154885753628102</v>
          </cell>
          <cell r="AW154">
            <v>0</v>
          </cell>
          <cell r="AY154">
            <v>0</v>
          </cell>
          <cell r="AZ154">
            <v>0</v>
          </cell>
          <cell r="BA154">
            <v>1</v>
          </cell>
          <cell r="BC154">
            <v>5.1676019031286371</v>
          </cell>
          <cell r="BD154">
            <v>8.2125305147862644</v>
          </cell>
          <cell r="BE154">
            <v>10.087441432496355</v>
          </cell>
          <cell r="BF154">
            <v>12.692413051644369</v>
          </cell>
          <cell r="BG154">
            <v>16.121703348710092</v>
          </cell>
          <cell r="BH154">
            <v>20.480857935146446</v>
          </cell>
          <cell r="BI154">
            <v>25.8879696198875</v>
          </cell>
          <cell r="BJ154">
            <v>32.475275196039135</v>
          </cell>
          <cell r="BL154">
            <v>129439.8480994375</v>
          </cell>
        </row>
        <row r="155">
          <cell r="A155">
            <v>10000815</v>
          </cell>
          <cell r="B155">
            <v>0</v>
          </cell>
          <cell r="C155" t="str">
            <v>CP10</v>
          </cell>
          <cell r="D155" t="str">
            <v>RPH</v>
          </cell>
          <cell r="E155">
            <v>40</v>
          </cell>
          <cell r="F155" t="str">
            <v>M</v>
          </cell>
          <cell r="G155">
            <v>35004</v>
          </cell>
          <cell r="H155">
            <v>4</v>
          </cell>
          <cell r="I155">
            <v>16000000</v>
          </cell>
          <cell r="J155">
            <v>428490</v>
          </cell>
          <cell r="K155">
            <v>277290</v>
          </cell>
          <cell r="L155">
            <v>1109160</v>
          </cell>
          <cell r="M155">
            <v>10</v>
          </cell>
          <cell r="N155">
            <v>10</v>
          </cell>
          <cell r="O155">
            <v>16000000</v>
          </cell>
          <cell r="P155">
            <v>42400</v>
          </cell>
          <cell r="Q155">
            <v>0</v>
          </cell>
          <cell r="R155">
            <v>0</v>
          </cell>
          <cell r="T155">
            <v>19570</v>
          </cell>
          <cell r="U155">
            <v>52280</v>
          </cell>
          <cell r="W155">
            <v>11440959.115624541</v>
          </cell>
          <cell r="X155">
            <v>42400</v>
          </cell>
          <cell r="Y155">
            <v>0</v>
          </cell>
          <cell r="Z155">
            <v>104560</v>
          </cell>
          <cell r="AB155">
            <v>1059607.4176178153</v>
          </cell>
          <cell r="AC155">
            <v>42400</v>
          </cell>
          <cell r="AD155">
            <v>0</v>
          </cell>
          <cell r="AE155">
            <v>52280</v>
          </cell>
          <cell r="AH155">
            <v>95</v>
          </cell>
          <cell r="AI155">
            <v>84</v>
          </cell>
          <cell r="AJ155">
            <v>4</v>
          </cell>
          <cell r="AK155">
            <v>6.6225463601113463E-2</v>
          </cell>
          <cell r="AL155">
            <v>0</v>
          </cell>
          <cell r="AM155">
            <v>3.3721940871410339E-2</v>
          </cell>
          <cell r="AN155">
            <v>0.10759426056971849</v>
          </cell>
          <cell r="AO155">
            <v>0.18813197191363767</v>
          </cell>
          <cell r="AP155">
            <v>0.27595876119135671</v>
          </cell>
          <cell r="AQ155">
            <v>0.37176521887213987</v>
          </cell>
          <cell r="AR155">
            <v>0.4763119481623157</v>
          </cell>
          <cell r="AS155">
            <v>0.59043522777040958</v>
          </cell>
          <cell r="AT155">
            <v>0.71505994472653378</v>
          </cell>
          <cell r="AU155">
            <v>0.85120572905943692</v>
          </cell>
          <cell r="AW155">
            <v>0</v>
          </cell>
          <cell r="AY155">
            <v>1</v>
          </cell>
          <cell r="AZ155">
            <v>0</v>
          </cell>
          <cell r="BA155">
            <v>1</v>
          </cell>
          <cell r="BC155">
            <v>7.5588854882364185</v>
          </cell>
          <cell r="BD155">
            <v>12.679128558449122</v>
          </cell>
          <cell r="BE155">
            <v>15.654000911260329</v>
          </cell>
          <cell r="BF155">
            <v>19.732129928429572</v>
          </cell>
          <cell r="BG155">
            <v>25.058024843278215</v>
          </cell>
          <cell r="BH155">
            <v>31.794242322749014</v>
          </cell>
          <cell r="BI155">
            <v>40.123847139350715</v>
          </cell>
          <cell r="BJ155">
            <v>50.252915673395627</v>
          </cell>
          <cell r="BL155">
            <v>508707.87716398423</v>
          </cell>
        </row>
        <row r="156">
          <cell r="A156">
            <v>10000815</v>
          </cell>
          <cell r="B156">
            <v>2</v>
          </cell>
          <cell r="C156" t="str">
            <v>E8</v>
          </cell>
          <cell r="D156" t="str">
            <v>RPH</v>
          </cell>
          <cell r="E156">
            <v>40</v>
          </cell>
          <cell r="F156" t="str">
            <v>M</v>
          </cell>
          <cell r="G156">
            <v>35004</v>
          </cell>
          <cell r="H156">
            <v>4</v>
          </cell>
          <cell r="I156">
            <v>2400000</v>
          </cell>
          <cell r="J156">
            <v>71700</v>
          </cell>
          <cell r="K156">
            <v>71700</v>
          </cell>
          <cell r="L156">
            <v>286800</v>
          </cell>
          <cell r="M156">
            <v>8</v>
          </cell>
          <cell r="N156">
            <v>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T156">
            <v>3000</v>
          </cell>
          <cell r="U156">
            <v>12000</v>
          </cell>
          <cell r="W156">
            <v>2400000</v>
          </cell>
          <cell r="X156">
            <v>0</v>
          </cell>
          <cell r="Y156">
            <v>0</v>
          </cell>
          <cell r="Z156">
            <v>24000</v>
          </cell>
          <cell r="AB156">
            <v>215988.26702104099</v>
          </cell>
          <cell r="AC156">
            <v>0</v>
          </cell>
          <cell r="AD156">
            <v>0</v>
          </cell>
          <cell r="AE156">
            <v>12000</v>
          </cell>
          <cell r="AH156">
            <v>95</v>
          </cell>
          <cell r="AI156">
            <v>84</v>
          </cell>
          <cell r="AJ156">
            <v>4</v>
          </cell>
          <cell r="AK156">
            <v>8.999511125876708E-2</v>
          </cell>
          <cell r="AL156">
            <v>0</v>
          </cell>
          <cell r="AM156">
            <v>5.8430056428325439E-2</v>
          </cell>
          <cell r="AN156">
            <v>0.16029239852395594</v>
          </cell>
          <cell r="AO156">
            <v>0.27140906786176838</v>
          </cell>
          <cell r="AP156">
            <v>0.39265801343493378</v>
          </cell>
          <cell r="AQ156">
            <v>0.52501176552360507</v>
          </cell>
          <cell r="AR156">
            <v>0.66954328908199279</v>
          </cell>
          <cell r="AS156">
            <v>0.82743608140178337</v>
          </cell>
          <cell r="AT156">
            <v>1</v>
          </cell>
          <cell r="AU156" t="str">
            <v/>
          </cell>
          <cell r="AW156">
            <v>0</v>
          </cell>
          <cell r="AY156">
            <v>0</v>
          </cell>
          <cell r="AZ156">
            <v>0</v>
          </cell>
          <cell r="BA156">
            <v>1</v>
          </cell>
          <cell r="BC156">
            <v>10.172499797374337</v>
          </cell>
          <cell r="BD156">
            <v>18.214099949012208</v>
          </cell>
          <cell r="BE156">
            <v>23.179366090863354</v>
          </cell>
          <cell r="BF156">
            <v>30.022839264588015</v>
          </cell>
          <cell r="BG156">
            <v>38.197372865945724</v>
          </cell>
          <cell r="BH156">
            <v>48.390789936966421</v>
          </cell>
          <cell r="BI156" t="str">
            <v/>
          </cell>
          <cell r="BJ156" t="str">
            <v/>
          </cell>
          <cell r="BL156">
            <v>116137.8958487194</v>
          </cell>
        </row>
        <row r="157">
          <cell r="A157">
            <v>10000815</v>
          </cell>
          <cell r="B157">
            <v>3</v>
          </cell>
          <cell r="C157" t="str">
            <v>E9</v>
          </cell>
          <cell r="D157" t="str">
            <v>RPH</v>
          </cell>
          <cell r="E157">
            <v>40</v>
          </cell>
          <cell r="F157" t="str">
            <v>M</v>
          </cell>
          <cell r="G157">
            <v>35004</v>
          </cell>
          <cell r="H157">
            <v>4</v>
          </cell>
          <cell r="I157">
            <v>3200000</v>
          </cell>
          <cell r="J157">
            <v>79500</v>
          </cell>
          <cell r="K157">
            <v>79500</v>
          </cell>
          <cell r="L157">
            <v>318000</v>
          </cell>
          <cell r="M157">
            <v>9</v>
          </cell>
          <cell r="N157">
            <v>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T157">
            <v>3500</v>
          </cell>
          <cell r="U157">
            <v>14000</v>
          </cell>
          <cell r="W157">
            <v>2690266.8472742043</v>
          </cell>
          <cell r="X157">
            <v>0</v>
          </cell>
          <cell r="Y157">
            <v>0</v>
          </cell>
          <cell r="Z157">
            <v>28000</v>
          </cell>
          <cell r="AB157">
            <v>245512.96923955696</v>
          </cell>
          <cell r="AC157">
            <v>0</v>
          </cell>
          <cell r="AD157">
            <v>0</v>
          </cell>
          <cell r="AE157">
            <v>14000</v>
          </cell>
          <cell r="AH157">
            <v>95</v>
          </cell>
          <cell r="AI157">
            <v>84</v>
          </cell>
          <cell r="AJ157">
            <v>4</v>
          </cell>
          <cell r="AK157">
            <v>7.6722802887361552E-2</v>
          </cell>
          <cell r="AL157">
            <v>0</v>
          </cell>
          <cell r="AM157">
            <v>4.463081458032464E-2</v>
          </cell>
          <cell r="AN157">
            <v>0.13085210010477211</v>
          </cell>
          <cell r="AO157">
            <v>0.22487879279999184</v>
          </cell>
          <cell r="AP157">
            <v>0.3274461236909072</v>
          </cell>
          <cell r="AQ157">
            <v>0.43936835149398668</v>
          </cell>
          <cell r="AR157">
            <v>0.56154302894187591</v>
          </cell>
          <cell r="AS157">
            <v>0.69495854286782732</v>
          </cell>
          <cell r="AT157">
            <v>0.84070838977318885</v>
          </cell>
          <cell r="AU157">
            <v>1</v>
          </cell>
          <cell r="AW157">
            <v>0</v>
          </cell>
          <cell r="AY157">
            <v>0</v>
          </cell>
          <cell r="AZ157">
            <v>0</v>
          </cell>
          <cell r="BA157">
            <v>1</v>
          </cell>
          <cell r="BC157">
            <v>8.7137621479267775</v>
          </cell>
          <cell r="BD157">
            <v>14.854156720270669</v>
          </cell>
          <cell r="BE157">
            <v>18.374724480717084</v>
          </cell>
          <cell r="BF157">
            <v>23.184334822550049</v>
          </cell>
          <cell r="BG157">
            <v>29.452550481973653</v>
          </cell>
          <cell r="BH157">
            <v>37.370282970673017</v>
          </cell>
          <cell r="BI157">
            <v>47.152686356997805</v>
          </cell>
          <cell r="BJ157" t="str">
            <v/>
          </cell>
          <cell r="BL157">
            <v>119584.90550615366</v>
          </cell>
        </row>
        <row r="158">
          <cell r="A158">
            <v>10000859</v>
          </cell>
          <cell r="B158">
            <v>0</v>
          </cell>
          <cell r="C158" t="str">
            <v>CP18</v>
          </cell>
          <cell r="D158" t="str">
            <v>RPH</v>
          </cell>
          <cell r="E158">
            <v>31</v>
          </cell>
          <cell r="F158" t="str">
            <v>M</v>
          </cell>
          <cell r="G158">
            <v>35027</v>
          </cell>
          <cell r="H158">
            <v>1</v>
          </cell>
          <cell r="I158">
            <v>23000000</v>
          </cell>
          <cell r="J158">
            <v>1066500</v>
          </cell>
          <cell r="K158">
            <v>811800</v>
          </cell>
          <cell r="L158">
            <v>811800</v>
          </cell>
          <cell r="M158">
            <v>18</v>
          </cell>
          <cell r="N158">
            <v>18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T158">
            <v>0</v>
          </cell>
          <cell r="U158">
            <v>0</v>
          </cell>
          <cell r="W158">
            <v>5741411.2464400688</v>
          </cell>
          <cell r="X158">
            <v>0</v>
          </cell>
          <cell r="Y158">
            <v>0</v>
          </cell>
          <cell r="Z158">
            <v>0</v>
          </cell>
          <cell r="AB158">
            <v>575903.5177658163</v>
          </cell>
          <cell r="AC158">
            <v>0</v>
          </cell>
          <cell r="AD158">
            <v>0</v>
          </cell>
          <cell r="AE158">
            <v>0</v>
          </cell>
          <cell r="AH158">
            <v>95</v>
          </cell>
          <cell r="AI158">
            <v>84</v>
          </cell>
          <cell r="AJ158">
            <v>1</v>
          </cell>
          <cell r="AK158">
            <v>2.5039283381122449E-2</v>
          </cell>
          <cell r="AL158">
            <v>0</v>
          </cell>
          <cell r="AM158">
            <v>1.3865640971999493E-3</v>
          </cell>
          <cell r="AN158">
            <v>2.8386259600626906E-2</v>
          </cell>
          <cell r="AO158">
            <v>5.7811224557433094E-2</v>
          </cell>
          <cell r="AP158">
            <v>8.987784798808704E-2</v>
          </cell>
          <cell r="AQ158">
            <v>0.12482273085465434</v>
          </cell>
          <cell r="AR158">
            <v>0.16290268919368556</v>
          </cell>
          <cell r="AS158">
            <v>0.20440075117957393</v>
          </cell>
          <cell r="AT158">
            <v>0.24962657593217691</v>
          </cell>
          <cell r="AU158">
            <v>0.29891740656995192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C158">
            <v>3.1248700509333167</v>
          </cell>
          <cell r="BD158">
            <v>4.370268394516911</v>
          </cell>
          <cell r="BE158">
            <v>5.2858718892614673</v>
          </cell>
          <cell r="BF158">
            <v>6.6073927154194489</v>
          </cell>
          <cell r="BG158">
            <v>8.386831004562552</v>
          </cell>
          <cell r="BH158">
            <v>10.682361779039386</v>
          </cell>
          <cell r="BI158">
            <v>13.559006759554677</v>
          </cell>
          <cell r="BJ158">
            <v>17.0893415017268</v>
          </cell>
          <cell r="BL158">
            <v>245694.32091790586</v>
          </cell>
        </row>
        <row r="159">
          <cell r="A159">
            <v>10000859</v>
          </cell>
          <cell r="B159">
            <v>1</v>
          </cell>
          <cell r="C159" t="str">
            <v>E12</v>
          </cell>
          <cell r="D159" t="str">
            <v>RPH</v>
          </cell>
          <cell r="E159">
            <v>31</v>
          </cell>
          <cell r="F159" t="str">
            <v>M</v>
          </cell>
          <cell r="G159">
            <v>35027</v>
          </cell>
          <cell r="H159">
            <v>1</v>
          </cell>
          <cell r="I159">
            <v>2300000</v>
          </cell>
          <cell r="J159">
            <v>148400</v>
          </cell>
          <cell r="K159">
            <v>148400</v>
          </cell>
          <cell r="L159">
            <v>148400</v>
          </cell>
          <cell r="M159">
            <v>12</v>
          </cell>
          <cell r="N159">
            <v>12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T159">
            <v>0</v>
          </cell>
          <cell r="U159">
            <v>0</v>
          </cell>
          <cell r="W159">
            <v>1221444.2035427319</v>
          </cell>
          <cell r="X159">
            <v>0</v>
          </cell>
          <cell r="Y159">
            <v>0</v>
          </cell>
          <cell r="Z159">
            <v>0</v>
          </cell>
          <cell r="AB159">
            <v>116013.54103840145</v>
          </cell>
          <cell r="AC159">
            <v>0</v>
          </cell>
          <cell r="AD159">
            <v>0</v>
          </cell>
          <cell r="AE159">
            <v>0</v>
          </cell>
          <cell r="AH159">
            <v>95</v>
          </cell>
          <cell r="AI159">
            <v>84</v>
          </cell>
          <cell r="AJ159">
            <v>1</v>
          </cell>
          <cell r="AK159">
            <v>5.0440670016696283E-2</v>
          </cell>
          <cell r="AL159">
            <v>0</v>
          </cell>
          <cell r="AM159">
            <v>1.6778704520962529E-2</v>
          </cell>
          <cell r="AN159">
            <v>7.2615000087316584E-2</v>
          </cell>
          <cell r="AO159">
            <v>0.13349315790122457</v>
          </cell>
          <cell r="AP159">
            <v>0.19986877755118454</v>
          </cell>
          <cell r="AQ159">
            <v>0.27224099650008515</v>
          </cell>
          <cell r="AR159">
            <v>0.3511543544071567</v>
          </cell>
          <cell r="AS159">
            <v>0.43720889762520354</v>
          </cell>
          <cell r="AT159">
            <v>0.53106269719249211</v>
          </cell>
          <cell r="AU159">
            <v>0.63343630344583124</v>
          </cell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C159">
            <v>5.8047151320633432</v>
          </cell>
          <cell r="BD159">
            <v>9.4141812158634419</v>
          </cell>
          <cell r="BE159">
            <v>11.591103404476746</v>
          </cell>
          <cell r="BF159">
            <v>14.60050125180952</v>
          </cell>
          <cell r="BG159">
            <v>18.549957775461571</v>
          </cell>
          <cell r="BH159">
            <v>23.560009571623048</v>
          </cell>
          <cell r="BI159">
            <v>29.765631612414367</v>
          </cell>
          <cell r="BJ159">
            <v>37.317892996669023</v>
          </cell>
          <cell r="BL159">
            <v>54188.022014733011</v>
          </cell>
        </row>
        <row r="160">
          <cell r="A160">
            <v>10000859</v>
          </cell>
          <cell r="B160">
            <v>2</v>
          </cell>
          <cell r="C160" t="str">
            <v>E15</v>
          </cell>
          <cell r="D160" t="str">
            <v>RPH</v>
          </cell>
          <cell r="E160">
            <v>31</v>
          </cell>
          <cell r="F160" t="str">
            <v>M</v>
          </cell>
          <cell r="G160">
            <v>35027</v>
          </cell>
          <cell r="H160">
            <v>1</v>
          </cell>
          <cell r="I160">
            <v>2300000</v>
          </cell>
          <cell r="J160">
            <v>106300</v>
          </cell>
          <cell r="K160">
            <v>106300</v>
          </cell>
          <cell r="L160">
            <v>106300</v>
          </cell>
          <cell r="M160">
            <v>15</v>
          </cell>
          <cell r="N160">
            <v>15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T160">
            <v>0</v>
          </cell>
          <cell r="U160">
            <v>0</v>
          </cell>
          <cell r="W160">
            <v>813728.08034056507</v>
          </cell>
          <cell r="X160">
            <v>0</v>
          </cell>
          <cell r="Y160">
            <v>0</v>
          </cell>
          <cell r="Z160">
            <v>0</v>
          </cell>
          <cell r="AB160">
            <v>81734.580081121341</v>
          </cell>
          <cell r="AC160">
            <v>0</v>
          </cell>
          <cell r="AD160">
            <v>0</v>
          </cell>
          <cell r="AE160">
            <v>0</v>
          </cell>
          <cell r="AH160">
            <v>95</v>
          </cell>
          <cell r="AI160">
            <v>84</v>
          </cell>
          <cell r="AJ160">
            <v>1</v>
          </cell>
          <cell r="AK160">
            <v>3.553677394831363E-2</v>
          </cell>
          <cell r="AL160">
            <v>0</v>
          </cell>
          <cell r="AM160">
            <v>1.263630898561019E-3</v>
          </cell>
          <cell r="AN160">
            <v>3.9576495259555478E-2</v>
          </cell>
          <cell r="AO160">
            <v>8.1338781346250333E-2</v>
          </cell>
          <cell r="AP160">
            <v>0.12685997587838121</v>
          </cell>
          <cell r="AQ160">
            <v>0.17647878482320006</v>
          </cell>
          <cell r="AR160">
            <v>0.23056367433693384</v>
          </cell>
          <cell r="AS160">
            <v>0.28952074825769625</v>
          </cell>
          <cell r="AT160">
            <v>0.35379481753937614</v>
          </cell>
          <cell r="AU160">
            <v>0.42387148678530961</v>
          </cell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C160">
            <v>4.1629374888670023</v>
          </cell>
          <cell r="BD160">
            <v>6.3231066737502859</v>
          </cell>
          <cell r="BE160">
            <v>7.7264543800224565</v>
          </cell>
          <cell r="BF160">
            <v>9.7005566515489416</v>
          </cell>
          <cell r="BG160">
            <v>12.318823994133847</v>
          </cell>
          <cell r="BH160">
            <v>15.663438263844574</v>
          </cell>
          <cell r="BI160">
            <v>19.826330531459647</v>
          </cell>
          <cell r="BJ160">
            <v>24.910239673087915</v>
          </cell>
          <cell r="BL160">
            <v>36025.908006842517</v>
          </cell>
        </row>
        <row r="161">
          <cell r="A161">
            <v>10000863</v>
          </cell>
          <cell r="B161">
            <v>0</v>
          </cell>
          <cell r="C161" t="str">
            <v>CP13</v>
          </cell>
          <cell r="D161" t="str">
            <v>RPH</v>
          </cell>
          <cell r="E161">
            <v>39</v>
          </cell>
          <cell r="F161" t="str">
            <v>F</v>
          </cell>
          <cell r="G161">
            <v>35037</v>
          </cell>
          <cell r="H161">
            <v>1</v>
          </cell>
          <cell r="I161">
            <v>25000000</v>
          </cell>
          <cell r="J161">
            <v>1920100</v>
          </cell>
          <cell r="K161">
            <v>1427500</v>
          </cell>
          <cell r="L161">
            <v>1427500</v>
          </cell>
          <cell r="M161">
            <v>13</v>
          </cell>
          <cell r="N161">
            <v>13</v>
          </cell>
          <cell r="O161">
            <v>0</v>
          </cell>
          <cell r="P161">
            <v>0</v>
          </cell>
          <cell r="Q161">
            <v>45000000</v>
          </cell>
          <cell r="R161">
            <v>247500</v>
          </cell>
          <cell r="T161">
            <v>92600</v>
          </cell>
          <cell r="U161">
            <v>71900</v>
          </cell>
          <cell r="W161">
            <v>11540075.096871674</v>
          </cell>
          <cell r="X161">
            <v>0</v>
          </cell>
          <cell r="Y161">
            <v>33000</v>
          </cell>
          <cell r="Z161">
            <v>143800</v>
          </cell>
          <cell r="AB161">
            <v>1120998.8881390302</v>
          </cell>
          <cell r="AC161">
            <v>0</v>
          </cell>
          <cell r="AD161">
            <v>198000</v>
          </cell>
          <cell r="AE161">
            <v>71900</v>
          </cell>
          <cell r="AH161">
            <v>94</v>
          </cell>
          <cell r="AI161">
            <v>84</v>
          </cell>
          <cell r="AJ161">
            <v>1</v>
          </cell>
          <cell r="AK161">
            <v>4.4839955525561206E-2</v>
          </cell>
          <cell r="AL161">
            <v>0</v>
          </cell>
          <cell r="AM161">
            <v>1.1315868750835678E-2</v>
          </cell>
          <cell r="AN161">
            <v>6.0257641240330118E-2</v>
          </cell>
          <cell r="AO161">
            <v>0.11357970210592389</v>
          </cell>
          <cell r="AP161">
            <v>0.17168791530366212</v>
          </cell>
          <cell r="AQ161">
            <v>0.23503343433300306</v>
          </cell>
          <cell r="AR161">
            <v>0.3041009508347372</v>
          </cell>
          <cell r="AS161">
            <v>0.37942792357795441</v>
          </cell>
          <cell r="AT161">
            <v>0.46160300387486697</v>
          </cell>
          <cell r="AU161">
            <v>0.55126555192891868</v>
          </cell>
          <cell r="AW161">
            <v>10</v>
          </cell>
          <cell r="AY161">
            <v>0</v>
          </cell>
          <cell r="AZ161">
            <v>0.8</v>
          </cell>
          <cell r="BA161">
            <v>1</v>
          </cell>
          <cell r="BC161">
            <v>5.1978367466260496</v>
          </cell>
          <cell r="BD161">
            <v>8.2486613288294066</v>
          </cell>
          <cell r="BE161">
            <v>10.120927907194627</v>
          </cell>
          <cell r="BF161">
            <v>12.722117132674128</v>
          </cell>
          <cell r="BG161">
            <v>16.146578684539225</v>
          </cell>
          <cell r="BH161">
            <v>20.500350399614646</v>
          </cell>
          <cell r="BI161">
            <v>25.902391705432787</v>
          </cell>
          <cell r="BJ161">
            <v>32.485818531328007</v>
          </cell>
          <cell r="BL161">
            <v>512508.75999036618</v>
          </cell>
        </row>
        <row r="162">
          <cell r="A162">
            <v>10000863</v>
          </cell>
          <cell r="B162">
            <v>2</v>
          </cell>
          <cell r="C162" t="str">
            <v>E10</v>
          </cell>
          <cell r="D162" t="str">
            <v>RPH</v>
          </cell>
          <cell r="E162">
            <v>39</v>
          </cell>
          <cell r="F162" t="str">
            <v>F</v>
          </cell>
          <cell r="G162">
            <v>35037</v>
          </cell>
          <cell r="H162">
            <v>1</v>
          </cell>
          <cell r="I162">
            <v>6000000</v>
          </cell>
          <cell r="J162">
            <v>492600</v>
          </cell>
          <cell r="K162">
            <v>492600</v>
          </cell>
          <cell r="L162">
            <v>492600</v>
          </cell>
          <cell r="M162">
            <v>10</v>
          </cell>
          <cell r="N162">
            <v>10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T162">
            <v>20700</v>
          </cell>
          <cell r="U162">
            <v>20700</v>
          </cell>
          <cell r="W162">
            <v>4291111.0756085552</v>
          </cell>
          <cell r="X162">
            <v>0</v>
          </cell>
          <cell r="Y162">
            <v>0</v>
          </cell>
          <cell r="Z162">
            <v>41400</v>
          </cell>
          <cell r="AB162">
            <v>396740.56361519458</v>
          </cell>
          <cell r="AC162">
            <v>0</v>
          </cell>
          <cell r="AD162">
            <v>0</v>
          </cell>
          <cell r="AE162">
            <v>20700</v>
          </cell>
          <cell r="AH162">
            <v>94</v>
          </cell>
          <cell r="AI162">
            <v>84</v>
          </cell>
          <cell r="AJ162">
            <v>1</v>
          </cell>
          <cell r="AK162">
            <v>6.6123427269199092E-2</v>
          </cell>
          <cell r="AL162">
            <v>0</v>
          </cell>
          <cell r="AM162">
            <v>3.3431947425327624E-2</v>
          </cell>
          <cell r="AN162">
            <v>0.10736756440496237</v>
          </cell>
          <cell r="AO162">
            <v>0.18796963910920172</v>
          </cell>
          <cell r="AP162">
            <v>0.27586341815726684</v>
          </cell>
          <cell r="AQ162">
            <v>0.37174192429467429</v>
          </cell>
          <cell r="AR162">
            <v>0.47635516409882328</v>
          </cell>
          <cell r="AS162">
            <v>0.59053291941850516</v>
          </cell>
          <cell r="AT162">
            <v>0.71518517926809255</v>
          </cell>
          <cell r="AU162">
            <v>0.85130776539135133</v>
          </cell>
          <cell r="AW162">
            <v>0</v>
          </cell>
          <cell r="AY162">
            <v>0</v>
          </cell>
          <cell r="AZ162">
            <v>0</v>
          </cell>
          <cell r="BA162">
            <v>1</v>
          </cell>
          <cell r="BC162">
            <v>7.541423801787948</v>
          </cell>
          <cell r="BD162">
            <v>12.65962877545695</v>
          </cell>
          <cell r="BE162">
            <v>15.63602946526925</v>
          </cell>
          <cell r="BF162">
            <v>19.71613626854959</v>
          </cell>
          <cell r="BG162">
            <v>25.044106742028113</v>
          </cell>
          <cell r="BH162">
            <v>31.782090198860391</v>
          </cell>
          <cell r="BI162">
            <v>40.112219411998105</v>
          </cell>
          <cell r="BJ162">
            <v>50.238873567209978</v>
          </cell>
          <cell r="BL162">
            <v>190692.54119316235</v>
          </cell>
        </row>
        <row r="163">
          <cell r="A163">
            <v>10000868</v>
          </cell>
          <cell r="B163">
            <v>0</v>
          </cell>
          <cell r="C163" t="str">
            <v>CP17</v>
          </cell>
          <cell r="D163" t="str">
            <v>RPH</v>
          </cell>
          <cell r="E163">
            <v>33</v>
          </cell>
          <cell r="F163" t="str">
            <v>M</v>
          </cell>
          <cell r="G163">
            <v>35026</v>
          </cell>
          <cell r="H163">
            <v>1</v>
          </cell>
          <cell r="I163">
            <v>21000000</v>
          </cell>
          <cell r="J163">
            <v>808500</v>
          </cell>
          <cell r="K163">
            <v>808500</v>
          </cell>
          <cell r="L163">
            <v>808500</v>
          </cell>
          <cell r="M163">
            <v>17</v>
          </cell>
          <cell r="N163">
            <v>17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28300</v>
          </cell>
          <cell r="U163">
            <v>28300</v>
          </cell>
          <cell r="W163">
            <v>5868567.0458093639</v>
          </cell>
          <cell r="X163">
            <v>0</v>
          </cell>
          <cell r="Y163">
            <v>0</v>
          </cell>
          <cell r="Z163">
            <v>56600</v>
          </cell>
          <cell r="AB163">
            <v>589831.00333383668</v>
          </cell>
          <cell r="AC163">
            <v>0</v>
          </cell>
          <cell r="AD163">
            <v>0</v>
          </cell>
          <cell r="AE163">
            <v>28300</v>
          </cell>
          <cell r="AH163">
            <v>95</v>
          </cell>
          <cell r="AI163">
            <v>84</v>
          </cell>
          <cell r="AJ163">
            <v>1</v>
          </cell>
          <cell r="AK163">
            <v>2.8087190634944602E-2</v>
          </cell>
          <cell r="AL163">
            <v>0</v>
          </cell>
          <cell r="AM163">
            <v>1.461704286146448E-3</v>
          </cell>
          <cell r="AN163">
            <v>3.1710499002251979E-2</v>
          </cell>
          <cell r="AO163">
            <v>6.4670451755736408E-2</v>
          </cell>
          <cell r="AP163">
            <v>0.10058244702216257</v>
          </cell>
          <cell r="AQ163">
            <v>0.13971250772497379</v>
          </cell>
          <cell r="AR163">
            <v>0.18235178595971019</v>
          </cell>
          <cell r="AS163">
            <v>0.2288170626298027</v>
          </cell>
          <cell r="AT163">
            <v>0.2794555736099697</v>
          </cell>
          <cell r="AU163">
            <v>0.3346497324354048</v>
          </cell>
          <cell r="AW163">
            <v>0</v>
          </cell>
          <cell r="AY163">
            <v>0</v>
          </cell>
          <cell r="AZ163">
            <v>0</v>
          </cell>
          <cell r="BA163">
            <v>1</v>
          </cell>
          <cell r="BC163">
            <v>3.4306309219028583</v>
          </cell>
          <cell r="BD163">
            <v>4.9422353244865924</v>
          </cell>
          <cell r="BE163">
            <v>5.9986124046327687</v>
          </cell>
          <cell r="BF163">
            <v>7.5081199297229411</v>
          </cell>
          <cell r="BG163">
            <v>9.5288805159718066</v>
          </cell>
          <cell r="BH163">
            <v>12.12582594225041</v>
          </cell>
          <cell r="BI163">
            <v>15.371559564889246</v>
          </cell>
          <cell r="BJ163">
            <v>19.347363095788452</v>
          </cell>
          <cell r="BL163">
            <v>254642.3447872586</v>
          </cell>
        </row>
        <row r="164">
          <cell r="A164">
            <v>10000906</v>
          </cell>
          <cell r="B164">
            <v>0</v>
          </cell>
          <cell r="C164" t="str">
            <v>CP18</v>
          </cell>
          <cell r="D164" t="str">
            <v>RPH</v>
          </cell>
          <cell r="E164">
            <v>32</v>
          </cell>
          <cell r="F164" t="str">
            <v>M</v>
          </cell>
          <cell r="G164">
            <v>35040</v>
          </cell>
          <cell r="H164">
            <v>1</v>
          </cell>
          <cell r="I164">
            <v>28000000</v>
          </cell>
          <cell r="J164">
            <v>1627900</v>
          </cell>
          <cell r="K164">
            <v>988400</v>
          </cell>
          <cell r="L164">
            <v>988400</v>
          </cell>
          <cell r="M164">
            <v>18</v>
          </cell>
          <cell r="N164">
            <v>18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T164">
            <v>0</v>
          </cell>
          <cell r="U164">
            <v>0</v>
          </cell>
          <cell r="W164">
            <v>6991097.9536688011</v>
          </cell>
          <cell r="X164">
            <v>0</v>
          </cell>
          <cell r="Y164">
            <v>0</v>
          </cell>
          <cell r="Z164">
            <v>0</v>
          </cell>
          <cell r="AB164">
            <v>701680.82966712851</v>
          </cell>
          <cell r="AC164">
            <v>0</v>
          </cell>
          <cell r="AD164">
            <v>0</v>
          </cell>
          <cell r="AE164">
            <v>0</v>
          </cell>
          <cell r="AH164">
            <v>94</v>
          </cell>
          <cell r="AI164">
            <v>84</v>
          </cell>
          <cell r="AJ164">
            <v>1</v>
          </cell>
          <cell r="AK164">
            <v>2.5060029630968875E-2</v>
          </cell>
          <cell r="AL164">
            <v>0</v>
          </cell>
          <cell r="AM164">
            <v>1.4405870572486712E-3</v>
          </cell>
          <cell r="AN164">
            <v>2.8450003660082823E-2</v>
          </cell>
          <cell r="AO164">
            <v>5.7881790974051134E-2</v>
          </cell>
          <cell r="AP164">
            <v>8.9952416373885291E-2</v>
          </cell>
          <cell r="AQ164">
            <v>0.12489659177744347</v>
          </cell>
          <cell r="AR164">
            <v>0.16297323923535742</v>
          </cell>
          <cell r="AS164">
            <v>0.20446564294842459</v>
          </cell>
          <cell r="AT164">
            <v>0.24968206977388574</v>
          </cell>
          <cell r="AU164">
            <v>0.29896026568271572</v>
          </cell>
          <cell r="AW164">
            <v>0</v>
          </cell>
          <cell r="AY164">
            <v>0</v>
          </cell>
          <cell r="AZ164">
            <v>0</v>
          </cell>
          <cell r="BA164">
            <v>0</v>
          </cell>
          <cell r="BC164">
            <v>3.1280368903457227</v>
          </cell>
          <cell r="BD164">
            <v>4.3749067147974676</v>
          </cell>
          <cell r="BE164">
            <v>5.2908293211933541</v>
          </cell>
          <cell r="BF164">
            <v>6.6125757157472087</v>
          </cell>
          <cell r="BG164">
            <v>8.392151871742767</v>
          </cell>
          <cell r="BH164">
            <v>10.687703472296739</v>
          </cell>
          <cell r="BI164">
            <v>13.564146375349029</v>
          </cell>
          <cell r="BJ164">
            <v>17.094025103796046</v>
          </cell>
          <cell r="BL164">
            <v>299255.69722430874</v>
          </cell>
        </row>
        <row r="165">
          <cell r="A165">
            <v>10000906</v>
          </cell>
          <cell r="B165">
            <v>1</v>
          </cell>
          <cell r="C165" t="str">
            <v>E10</v>
          </cell>
          <cell r="D165" t="str">
            <v>RPH</v>
          </cell>
          <cell r="E165">
            <v>32</v>
          </cell>
          <cell r="F165" t="str">
            <v>M</v>
          </cell>
          <cell r="G165">
            <v>35040</v>
          </cell>
          <cell r="H165">
            <v>1</v>
          </cell>
          <cell r="I165">
            <v>5000000</v>
          </cell>
          <cell r="J165">
            <v>408500</v>
          </cell>
          <cell r="K165">
            <v>408500</v>
          </cell>
          <cell r="L165">
            <v>408500</v>
          </cell>
          <cell r="M165">
            <v>10</v>
          </cell>
          <cell r="N165">
            <v>10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T165">
            <v>0</v>
          </cell>
          <cell r="U165">
            <v>0</v>
          </cell>
          <cell r="W165">
            <v>3577339.8850416304</v>
          </cell>
          <cell r="X165">
            <v>0</v>
          </cell>
          <cell r="Y165">
            <v>0</v>
          </cell>
          <cell r="Z165">
            <v>0</v>
          </cell>
          <cell r="AB165">
            <v>329614.24568482384</v>
          </cell>
          <cell r="AC165">
            <v>0</v>
          </cell>
          <cell r="AD165">
            <v>0</v>
          </cell>
          <cell r="AE165">
            <v>0</v>
          </cell>
          <cell r="AH165">
            <v>94</v>
          </cell>
          <cell r="AI165">
            <v>84</v>
          </cell>
          <cell r="AJ165">
            <v>1</v>
          </cell>
          <cell r="AK165">
            <v>6.5922849136964765E-2</v>
          </cell>
          <cell r="AL165">
            <v>0</v>
          </cell>
          <cell r="AM165">
            <v>3.2923999607920362E-2</v>
          </cell>
          <cell r="AN165">
            <v>0.10697302328196284</v>
          </cell>
          <cell r="AO165">
            <v>0.18771990654311549</v>
          </cell>
          <cell r="AP165">
            <v>0.27577513563629036</v>
          </cell>
          <cell r="AQ165">
            <v>0.37180555146603717</v>
          </cell>
          <cell r="AR165">
            <v>0.47654657886308904</v>
          </cell>
          <cell r="AS165">
            <v>0.59080558375796632</v>
          </cell>
          <cell r="AT165">
            <v>0.71546797700832609</v>
          </cell>
          <cell r="AU165">
            <v>0.85150834352358562</v>
          </cell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C165">
            <v>7.509060410715314</v>
          </cell>
          <cell r="BD165">
            <v>12.623316985963957</v>
          </cell>
          <cell r="BE165">
            <v>15.603612503693409</v>
          </cell>
          <cell r="BF165">
            <v>19.688330315921391</v>
          </cell>
          <cell r="BG165">
            <v>25.02088009434792</v>
          </cell>
          <cell r="BH165">
            <v>31.762037519008224</v>
          </cell>
          <cell r="BI165">
            <v>40.09199504853801</v>
          </cell>
          <cell r="BJ165">
            <v>50.212848006889061</v>
          </cell>
          <cell r="BL165">
            <v>158810.18759504112</v>
          </cell>
        </row>
        <row r="166">
          <cell r="A166">
            <v>10000906</v>
          </cell>
          <cell r="B166">
            <v>2</v>
          </cell>
          <cell r="C166" t="str">
            <v>E15</v>
          </cell>
          <cell r="D166" t="str">
            <v>RPH</v>
          </cell>
          <cell r="E166">
            <v>32</v>
          </cell>
          <cell r="F166" t="str">
            <v>M</v>
          </cell>
          <cell r="G166">
            <v>35040</v>
          </cell>
          <cell r="H166">
            <v>1</v>
          </cell>
          <cell r="I166">
            <v>5000000</v>
          </cell>
          <cell r="J166">
            <v>231000</v>
          </cell>
          <cell r="K166">
            <v>231000</v>
          </cell>
          <cell r="L166">
            <v>231000</v>
          </cell>
          <cell r="M166">
            <v>15</v>
          </cell>
          <cell r="N166">
            <v>15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T166">
            <v>0</v>
          </cell>
          <cell r="U166">
            <v>0</v>
          </cell>
          <cell r="W166">
            <v>1769068.785737124</v>
          </cell>
          <cell r="X166">
            <v>0</v>
          </cell>
          <cell r="Y166">
            <v>0</v>
          </cell>
          <cell r="Z166">
            <v>0</v>
          </cell>
          <cell r="AB166">
            <v>177800.25542553523</v>
          </cell>
          <cell r="AC166">
            <v>0</v>
          </cell>
          <cell r="AD166">
            <v>0</v>
          </cell>
          <cell r="AE166">
            <v>0</v>
          </cell>
          <cell r="AH166">
            <v>94</v>
          </cell>
          <cell r="AI166">
            <v>84</v>
          </cell>
          <cell r="AJ166">
            <v>1</v>
          </cell>
          <cell r="AK166">
            <v>3.5560051085107049E-2</v>
          </cell>
          <cell r="AL166">
            <v>0</v>
          </cell>
          <cell r="AM166">
            <v>1.3128641663826546E-3</v>
          </cell>
          <cell r="AN166">
            <v>3.9632713053153412E-2</v>
          </cell>
          <cell r="AO166">
            <v>8.1398132896679576E-2</v>
          </cell>
          <cell r="AP166">
            <v>0.12691888824234548</v>
          </cell>
          <cell r="AQ166">
            <v>0.17653160411647553</v>
          </cell>
          <cell r="AR166">
            <v>0.23060765205233985</v>
          </cell>
          <cell r="AS166">
            <v>0.28955379897153788</v>
          </cell>
          <cell r="AT166">
            <v>0.3538137571474248</v>
          </cell>
          <cell r="AU166">
            <v>0.4238744132956716</v>
          </cell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C166">
            <v>4.1662173404601024</v>
          </cell>
          <cell r="BD166">
            <v>6.3276860406954984</v>
          </cell>
          <cell r="BE166">
            <v>7.7311890494718964</v>
          </cell>
          <cell r="BF166">
            <v>9.7052886612334621</v>
          </cell>
          <cell r="BG166">
            <v>12.323416079533525</v>
          </cell>
          <cell r="BH166">
            <v>15.667741245386424</v>
          </cell>
          <cell r="BI166">
            <v>19.830114773004933</v>
          </cell>
          <cell r="BJ166">
            <v>24.913296954919492</v>
          </cell>
          <cell r="BL166">
            <v>78338.706226932118</v>
          </cell>
        </row>
        <row r="167">
          <cell r="A167">
            <v>10001014</v>
          </cell>
          <cell r="B167">
            <v>0</v>
          </cell>
          <cell r="C167" t="str">
            <v>CP18</v>
          </cell>
          <cell r="D167" t="str">
            <v>RPH</v>
          </cell>
          <cell r="E167">
            <v>41</v>
          </cell>
          <cell r="F167" t="str">
            <v>F</v>
          </cell>
          <cell r="G167">
            <v>35108</v>
          </cell>
          <cell r="H167">
            <v>1</v>
          </cell>
          <cell r="I167">
            <v>52000000</v>
          </cell>
          <cell r="J167">
            <v>3499600</v>
          </cell>
          <cell r="K167">
            <v>1851200</v>
          </cell>
          <cell r="L167">
            <v>1851200</v>
          </cell>
          <cell r="M167">
            <v>18</v>
          </cell>
          <cell r="N167">
            <v>18</v>
          </cell>
          <cell r="O167">
            <v>0</v>
          </cell>
          <cell r="P167">
            <v>0</v>
          </cell>
          <cell r="Q167">
            <v>52000000</v>
          </cell>
          <cell r="R167">
            <v>306800</v>
          </cell>
          <cell r="T167">
            <v>220100</v>
          </cell>
          <cell r="U167">
            <v>133200</v>
          </cell>
          <cell r="W167">
            <v>13005355.335650975</v>
          </cell>
          <cell r="X167">
            <v>0</v>
          </cell>
          <cell r="Y167">
            <v>81813.333333333328</v>
          </cell>
          <cell r="Z167">
            <v>266400</v>
          </cell>
          <cell r="AB167">
            <v>1313319.8714332497</v>
          </cell>
          <cell r="AC167">
            <v>0</v>
          </cell>
          <cell r="AD167">
            <v>245440</v>
          </cell>
          <cell r="AE167">
            <v>133200</v>
          </cell>
          <cell r="AH167">
            <v>92</v>
          </cell>
          <cell r="AI167">
            <v>84</v>
          </cell>
          <cell r="AJ167">
            <v>1</v>
          </cell>
          <cell r="AK167">
            <v>2.525615137371634E-2</v>
          </cell>
          <cell r="AL167">
            <v>0</v>
          </cell>
          <cell r="AM167">
            <v>2.4394458259087703E-3</v>
          </cell>
          <cell r="AN167">
            <v>2.9425885781485556E-2</v>
          </cell>
          <cell r="AO167">
            <v>5.8809539612913242E-2</v>
          </cell>
          <cell r="AP167">
            <v>9.0807016717898509E-2</v>
          </cell>
          <cell r="AQ167">
            <v>0.12566025940404449</v>
          </cell>
          <cell r="AR167">
            <v>0.1636337983700441</v>
          </cell>
          <cell r="AS167">
            <v>0.20501056157216019</v>
          </cell>
          <cell r="AT167">
            <v>0.25010298722405722</v>
          </cell>
          <cell r="AU167">
            <v>0.29925363328706944</v>
          </cell>
          <cell r="AW167">
            <v>8</v>
          </cell>
          <cell r="AY167">
            <v>0</v>
          </cell>
          <cell r="AZ167">
            <v>0.8</v>
          </cell>
          <cell r="BA167">
            <v>1</v>
          </cell>
          <cell r="BC167">
            <v>3.1658302882405525</v>
          </cell>
          <cell r="BD167">
            <v>4.4225207191203335</v>
          </cell>
          <cell r="BE167">
            <v>5.3373575485719327</v>
          </cell>
          <cell r="BF167">
            <v>6.6570419277756692</v>
          </cell>
          <cell r="BG167">
            <v>8.433556555751597</v>
          </cell>
          <cell r="BH167">
            <v>10.724889259090713</v>
          </cell>
          <cell r="BI167">
            <v>13.596025051239</v>
          </cell>
          <cell r="BJ167">
            <v>17.119715182429623</v>
          </cell>
          <cell r="BL167">
            <v>557694.24147271703</v>
          </cell>
        </row>
        <row r="168">
          <cell r="A168">
            <v>10001014</v>
          </cell>
          <cell r="B168">
            <v>2</v>
          </cell>
          <cell r="C168" t="str">
            <v>E12</v>
          </cell>
          <cell r="D168" t="str">
            <v>RPH</v>
          </cell>
          <cell r="E168">
            <v>41</v>
          </cell>
          <cell r="F168" t="str">
            <v>F</v>
          </cell>
          <cell r="G168">
            <v>35108</v>
          </cell>
          <cell r="H168">
            <v>1</v>
          </cell>
          <cell r="I168">
            <v>10400000</v>
          </cell>
          <cell r="J168">
            <v>681200</v>
          </cell>
          <cell r="K168">
            <v>681200</v>
          </cell>
          <cell r="L168">
            <v>681200</v>
          </cell>
          <cell r="M168">
            <v>12</v>
          </cell>
          <cell r="N168">
            <v>12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T168">
            <v>34700</v>
          </cell>
          <cell r="U168">
            <v>34700</v>
          </cell>
          <cell r="W168">
            <v>5519364.3149486585</v>
          </cell>
          <cell r="X168">
            <v>0</v>
          </cell>
          <cell r="Y168">
            <v>0</v>
          </cell>
          <cell r="Z168">
            <v>69400</v>
          </cell>
          <cell r="AB168">
            <v>527613.30181703134</v>
          </cell>
          <cell r="AC168">
            <v>0</v>
          </cell>
          <cell r="AD168">
            <v>0</v>
          </cell>
          <cell r="AE168">
            <v>34700</v>
          </cell>
          <cell r="AH168">
            <v>92</v>
          </cell>
          <cell r="AI168">
            <v>84</v>
          </cell>
          <cell r="AJ168">
            <v>1</v>
          </cell>
          <cell r="AK168">
            <v>5.0732048251637629E-2</v>
          </cell>
          <cell r="AL168">
            <v>0</v>
          </cell>
          <cell r="AM168">
            <v>1.7687378111264029E-2</v>
          </cell>
          <cell r="AN168">
            <v>7.338104975785148E-2</v>
          </cell>
          <cell r="AO168">
            <v>0.13408232555978317</v>
          </cell>
          <cell r="AP168">
            <v>0.20025449121932681</v>
          </cell>
          <cell r="AQ168">
            <v>0.27241313147156193</v>
          </cell>
          <cell r="AR168">
            <v>0.35112313588528699</v>
          </cell>
          <cell r="AS168">
            <v>0.4369961221388956</v>
          </cell>
          <cell r="AT168">
            <v>0.53070810720660178</v>
          </cell>
          <cell r="AU168">
            <v>0.63300309429448576</v>
          </cell>
          <cell r="AW168">
            <v>0</v>
          </cell>
          <cell r="AY168">
            <v>0</v>
          </cell>
          <cell r="AZ168">
            <v>0</v>
          </cell>
          <cell r="BA168">
            <v>1</v>
          </cell>
          <cell r="BC168">
            <v>5.8533027178482255</v>
          </cell>
          <cell r="BD168">
            <v>9.4697354407869891</v>
          </cell>
          <cell r="BE168">
            <v>11.641779562906461</v>
          </cell>
          <cell r="BF168">
            <v>14.644733639833564</v>
          </cell>
          <cell r="BG168">
            <v>18.586866527166372</v>
          </cell>
          <cell r="BH168">
            <v>23.58947185417404</v>
          </cell>
          <cell r="BI168">
            <v>29.788830207149839</v>
          </cell>
          <cell r="BJ168">
            <v>37.33798605676531</v>
          </cell>
          <cell r="BL168">
            <v>245330.50728341</v>
          </cell>
        </row>
        <row r="169">
          <cell r="A169">
            <v>10001014</v>
          </cell>
          <cell r="B169">
            <v>3</v>
          </cell>
          <cell r="C169" t="str">
            <v>E15</v>
          </cell>
          <cell r="D169" t="str">
            <v>RPH</v>
          </cell>
          <cell r="E169">
            <v>41</v>
          </cell>
          <cell r="F169" t="str">
            <v>F</v>
          </cell>
          <cell r="G169">
            <v>35108</v>
          </cell>
          <cell r="H169">
            <v>1</v>
          </cell>
          <cell r="I169">
            <v>20800000</v>
          </cell>
          <cell r="J169">
            <v>967200</v>
          </cell>
          <cell r="K169">
            <v>967200</v>
          </cell>
          <cell r="L169">
            <v>967200</v>
          </cell>
          <cell r="M169">
            <v>15</v>
          </cell>
          <cell r="N169">
            <v>15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T169">
            <v>52200</v>
          </cell>
          <cell r="U169">
            <v>52200</v>
          </cell>
          <cell r="W169">
            <v>7359177.3328377511</v>
          </cell>
          <cell r="X169">
            <v>0</v>
          </cell>
          <cell r="Y169">
            <v>0</v>
          </cell>
          <cell r="Z169">
            <v>104400</v>
          </cell>
          <cell r="AB169">
            <v>744742.41384688055</v>
          </cell>
          <cell r="AC169">
            <v>0</v>
          </cell>
          <cell r="AD169">
            <v>0</v>
          </cell>
          <cell r="AE169">
            <v>52200</v>
          </cell>
          <cell r="AH169">
            <v>92</v>
          </cell>
          <cell r="AI169">
            <v>84</v>
          </cell>
          <cell r="AJ169">
            <v>1</v>
          </cell>
          <cell r="AK169">
            <v>3.5804923742638488E-2</v>
          </cell>
          <cell r="AL169">
            <v>0</v>
          </cell>
          <cell r="AM169">
            <v>2.2231638098874074E-3</v>
          </cell>
          <cell r="AN169">
            <v>4.0471497029702097E-2</v>
          </cell>
          <cell r="AO169">
            <v>8.213518834658512E-2</v>
          </cell>
          <cell r="AP169">
            <v>0.12752613561370546</v>
          </cell>
          <cell r="AQ169">
            <v>0.17699224333743641</v>
          </cell>
          <cell r="AR169">
            <v>0.23091426519471997</v>
          </cell>
          <cell r="AS169">
            <v>0.28970160043481274</v>
          </cell>
          <cell r="AT169">
            <v>0.35380660254027652</v>
          </cell>
          <cell r="AU169">
            <v>0.42372612041255581</v>
          </cell>
          <cell r="AW169">
            <v>0</v>
          </cell>
          <cell r="AY169">
            <v>0</v>
          </cell>
          <cell r="AZ169">
            <v>0</v>
          </cell>
          <cell r="BA169">
            <v>1</v>
          </cell>
          <cell r="BC169">
            <v>4.2077449016556043</v>
          </cell>
          <cell r="BD169">
            <v>6.3775130750073128</v>
          </cell>
          <cell r="BE169">
            <v>7.7781757707538084</v>
          </cell>
          <cell r="BF169">
            <v>9.7480953167295823</v>
          </cell>
          <cell r="BG169">
            <v>12.360853631418626</v>
          </cell>
          <cell r="BH169">
            <v>15.698693795607765</v>
          </cell>
          <cell r="BI169">
            <v>19.853887677754557</v>
          </cell>
          <cell r="BJ169">
            <v>24.929878286858823</v>
          </cell>
          <cell r="BL169">
            <v>326532.83094864152</v>
          </cell>
        </row>
        <row r="170">
          <cell r="A170">
            <v>10001055</v>
          </cell>
          <cell r="B170">
            <v>0</v>
          </cell>
          <cell r="C170" t="str">
            <v>CP18</v>
          </cell>
          <cell r="D170" t="str">
            <v>RPH</v>
          </cell>
          <cell r="E170">
            <v>34</v>
          </cell>
          <cell r="F170" t="str">
            <v>F</v>
          </cell>
          <cell r="G170">
            <v>35092</v>
          </cell>
          <cell r="H170">
            <v>1</v>
          </cell>
          <cell r="I170">
            <v>25000000</v>
          </cell>
          <cell r="J170">
            <v>1372300</v>
          </cell>
          <cell r="K170">
            <v>882500</v>
          </cell>
          <cell r="L170">
            <v>882500</v>
          </cell>
          <cell r="M170">
            <v>18</v>
          </cell>
          <cell r="N170">
            <v>18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T170">
            <v>0</v>
          </cell>
          <cell r="U170">
            <v>0</v>
          </cell>
          <cell r="W170">
            <v>6241613.4967267662</v>
          </cell>
          <cell r="X170">
            <v>0</v>
          </cell>
          <cell r="Y170">
            <v>0</v>
          </cell>
          <cell r="Z170">
            <v>0</v>
          </cell>
          <cell r="AB170">
            <v>627036.49426385399</v>
          </cell>
          <cell r="AC170">
            <v>0</v>
          </cell>
          <cell r="AD170">
            <v>0</v>
          </cell>
          <cell r="AE170">
            <v>0</v>
          </cell>
          <cell r="AH170">
            <v>93</v>
          </cell>
          <cell r="AI170">
            <v>84</v>
          </cell>
          <cell r="AJ170">
            <v>1</v>
          </cell>
          <cell r="AK170">
            <v>2.5081459770554159E-2</v>
          </cell>
          <cell r="AL170">
            <v>0</v>
          </cell>
          <cell r="AM170">
            <v>1.4263088240095145E-3</v>
          </cell>
          <cell r="AN170">
            <v>2.8456695221206973E-2</v>
          </cell>
          <cell r="AO170">
            <v>5.7903172159881777E-2</v>
          </cell>
          <cell r="AP170">
            <v>8.9981565721130169E-2</v>
          </cell>
          <cell r="AQ170">
            <v>0.12492572876299818</v>
          </cell>
          <cell r="AR170">
            <v>0.16299413721307993</v>
          </cell>
          <cell r="AS170">
            <v>0.20446977870517269</v>
          </cell>
          <cell r="AT170">
            <v>0.24966453986907067</v>
          </cell>
          <cell r="AU170">
            <v>0.29891965125162806</v>
          </cell>
          <cell r="AW170">
            <v>0</v>
          </cell>
          <cell r="AY170">
            <v>0</v>
          </cell>
          <cell r="AZ170">
            <v>0</v>
          </cell>
          <cell r="BA170">
            <v>0</v>
          </cell>
          <cell r="BC170">
            <v>3.1302010500053674</v>
          </cell>
          <cell r="BD170">
            <v>4.3788746287340237</v>
          </cell>
          <cell r="BE170">
            <v>5.2952956039415051</v>
          </cell>
          <cell r="BF170">
            <v>6.6173501556598104</v>
          </cell>
          <cell r="BG170">
            <v>8.3968948639031993</v>
          </cell>
          <cell r="BH170">
            <v>10.691922486994553</v>
          </cell>
          <cell r="BI170">
            <v>13.567385194154156</v>
          </cell>
          <cell r="BJ170">
            <v>17.095936530360802</v>
          </cell>
          <cell r="BL170">
            <v>267298.06217486382</v>
          </cell>
        </row>
        <row r="171">
          <cell r="A171">
            <v>10001055</v>
          </cell>
          <cell r="B171">
            <v>2</v>
          </cell>
          <cell r="C171" t="str">
            <v>E12</v>
          </cell>
          <cell r="D171" t="str">
            <v>RPH</v>
          </cell>
          <cell r="E171">
            <v>34</v>
          </cell>
          <cell r="F171" t="str">
            <v>F</v>
          </cell>
          <cell r="G171">
            <v>35092</v>
          </cell>
          <cell r="H171">
            <v>1</v>
          </cell>
          <cell r="I171">
            <v>4000000</v>
          </cell>
          <cell r="J171">
            <v>258800</v>
          </cell>
          <cell r="K171">
            <v>258800</v>
          </cell>
          <cell r="L171">
            <v>258800</v>
          </cell>
          <cell r="M171">
            <v>12</v>
          </cell>
          <cell r="N171">
            <v>12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T171">
            <v>0</v>
          </cell>
          <cell r="U171">
            <v>0</v>
          </cell>
          <cell r="W171">
            <v>2124088.463656662</v>
          </cell>
          <cell r="X171">
            <v>0</v>
          </cell>
          <cell r="Y171">
            <v>0</v>
          </cell>
          <cell r="Z171">
            <v>0</v>
          </cell>
          <cell r="AB171">
            <v>201957.71102909115</v>
          </cell>
          <cell r="AC171">
            <v>0</v>
          </cell>
          <cell r="AD171">
            <v>0</v>
          </cell>
          <cell r="AE171">
            <v>0</v>
          </cell>
          <cell r="AH171">
            <v>93</v>
          </cell>
          <cell r="AI171">
            <v>84</v>
          </cell>
          <cell r="AJ171">
            <v>1</v>
          </cell>
          <cell r="AK171">
            <v>5.048942775727279E-2</v>
          </cell>
          <cell r="AL171">
            <v>0</v>
          </cell>
          <cell r="AM171">
            <v>1.6812680563867699E-2</v>
          </cell>
          <cell r="AN171">
            <v>7.2675565673453568E-2</v>
          </cell>
          <cell r="AO171">
            <v>0.13356572055007543</v>
          </cell>
          <cell r="AP171">
            <v>0.19993956884881242</v>
          </cell>
          <cell r="AQ171">
            <v>0.27229463161803746</v>
          </cell>
          <cell r="AR171">
            <v>0.35118073368845526</v>
          </cell>
          <cell r="AS171">
            <v>0.43720153848362675</v>
          </cell>
          <cell r="AT171">
            <v>0.53102211591416548</v>
          </cell>
          <cell r="AU171">
            <v>0.63337187523211891</v>
          </cell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C171">
            <v>5.8103242760765603</v>
          </cell>
          <cell r="BD171">
            <v>9.4226840138138268</v>
          </cell>
          <cell r="BE171">
            <v>11.599933394351599</v>
          </cell>
          <cell r="BF171">
            <v>14.609166545672785</v>
          </cell>
          <cell r="BG171">
            <v>18.557919483553921</v>
          </cell>
          <cell r="BH171">
            <v>23.566721798559875</v>
          </cell>
          <cell r="BI171">
            <v>29.770771844531875</v>
          </cell>
          <cell r="BJ171">
            <v>37.321601167225161</v>
          </cell>
          <cell r="BL171">
            <v>94266.887194239491</v>
          </cell>
        </row>
        <row r="172">
          <cell r="A172">
            <v>10001055</v>
          </cell>
          <cell r="B172">
            <v>3</v>
          </cell>
          <cell r="C172" t="str">
            <v>E15</v>
          </cell>
          <cell r="D172" t="str">
            <v>RPH</v>
          </cell>
          <cell r="E172">
            <v>34</v>
          </cell>
          <cell r="F172" t="str">
            <v>F</v>
          </cell>
          <cell r="G172">
            <v>35092</v>
          </cell>
          <cell r="H172">
            <v>1</v>
          </cell>
          <cell r="I172">
            <v>5000000</v>
          </cell>
          <cell r="J172">
            <v>231000</v>
          </cell>
          <cell r="K172">
            <v>231000</v>
          </cell>
          <cell r="L172">
            <v>231000</v>
          </cell>
          <cell r="M172">
            <v>15</v>
          </cell>
          <cell r="N172">
            <v>15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T172">
            <v>0</v>
          </cell>
          <cell r="U172">
            <v>0</v>
          </cell>
          <cell r="W172">
            <v>1768991.8907926425</v>
          </cell>
          <cell r="X172">
            <v>0</v>
          </cell>
          <cell r="Y172">
            <v>0</v>
          </cell>
          <cell r="Z172">
            <v>0</v>
          </cell>
          <cell r="AB172">
            <v>177926.44516449308</v>
          </cell>
          <cell r="AC172">
            <v>0</v>
          </cell>
          <cell r="AD172">
            <v>0</v>
          </cell>
          <cell r="AE172">
            <v>0</v>
          </cell>
          <cell r="AH172">
            <v>93</v>
          </cell>
          <cell r="AI172">
            <v>84</v>
          </cell>
          <cell r="AJ172">
            <v>1</v>
          </cell>
          <cell r="AK172">
            <v>3.5585289032898614E-2</v>
          </cell>
          <cell r="AL172">
            <v>0</v>
          </cell>
          <cell r="AM172">
            <v>1.2998518456870389E-3</v>
          </cell>
          <cell r="AN172">
            <v>3.9644629553777344E-2</v>
          </cell>
          <cell r="AO172">
            <v>8.1426903589046695E-2</v>
          </cell>
          <cell r="AP172">
            <v>0.12695594962365392</v>
          </cell>
          <cell r="AQ172">
            <v>0.17656775758635904</v>
          </cell>
          <cell r="AR172">
            <v>0.23063373029165954</v>
          </cell>
          <cell r="AS172">
            <v>0.28956102893675195</v>
          </cell>
          <cell r="AT172">
            <v>0.35379837815852849</v>
          </cell>
          <cell r="AU172">
            <v>0.42383727946617111</v>
          </cell>
          <cell r="AW172">
            <v>0</v>
          </cell>
          <cell r="AY172">
            <v>0</v>
          </cell>
          <cell r="AZ172">
            <v>0</v>
          </cell>
          <cell r="BA172">
            <v>0</v>
          </cell>
          <cell r="BC172">
            <v>4.168603634332114</v>
          </cell>
          <cell r="BD172">
            <v>6.3320538275530396</v>
          </cell>
          <cell r="BE172">
            <v>7.7360712297785312</v>
          </cell>
          <cell r="BF172">
            <v>9.7104590538189246</v>
          </cell>
          <cell r="BG172">
            <v>12.328502362142601</v>
          </cell>
          <cell r="BH172">
            <v>15.672240384753099</v>
          </cell>
          <cell r="BI172">
            <v>19.833617900895725</v>
          </cell>
          <cell r="BJ172">
            <v>24.915572817296876</v>
          </cell>
          <cell r="BL172">
            <v>78361.201923765489</v>
          </cell>
        </row>
        <row r="173">
          <cell r="A173">
            <v>10001065</v>
          </cell>
          <cell r="B173">
            <v>0</v>
          </cell>
          <cell r="C173" t="str">
            <v>CP18</v>
          </cell>
          <cell r="D173" t="str">
            <v>RPH</v>
          </cell>
          <cell r="E173">
            <v>29</v>
          </cell>
          <cell r="F173" t="str">
            <v>M</v>
          </cell>
          <cell r="G173">
            <v>35092</v>
          </cell>
          <cell r="H173">
            <v>1</v>
          </cell>
          <cell r="I173">
            <v>25000000</v>
          </cell>
          <cell r="J173">
            <v>1195700</v>
          </cell>
          <cell r="K173">
            <v>880000</v>
          </cell>
          <cell r="L173">
            <v>880000</v>
          </cell>
          <cell r="M173">
            <v>18</v>
          </cell>
          <cell r="N173">
            <v>18</v>
          </cell>
          <cell r="O173">
            <v>25000000</v>
          </cell>
          <cell r="P173">
            <v>62500</v>
          </cell>
          <cell r="Q173">
            <v>44000000</v>
          </cell>
          <cell r="R173">
            <v>132000</v>
          </cell>
          <cell r="T173">
            <v>50800</v>
          </cell>
          <cell r="U173">
            <v>42000</v>
          </cell>
          <cell r="W173">
            <v>6238339.064501618</v>
          </cell>
          <cell r="X173">
            <v>62500</v>
          </cell>
          <cell r="Y173">
            <v>26400</v>
          </cell>
          <cell r="Z173">
            <v>84000</v>
          </cell>
          <cell r="AB173">
            <v>625055.26797606843</v>
          </cell>
          <cell r="AC173">
            <v>62500</v>
          </cell>
          <cell r="AD173">
            <v>105600</v>
          </cell>
          <cell r="AE173">
            <v>42000</v>
          </cell>
          <cell r="AH173">
            <v>93</v>
          </cell>
          <cell r="AI173">
            <v>84</v>
          </cell>
          <cell r="AJ173">
            <v>1</v>
          </cell>
          <cell r="AK173">
            <v>2.5002210719042739E-2</v>
          </cell>
          <cell r="AL173">
            <v>0</v>
          </cell>
          <cell r="AM173">
            <v>1.3248328484655458E-3</v>
          </cell>
          <cell r="AN173">
            <v>2.8305239573160001E-2</v>
          </cell>
          <cell r="AO173">
            <v>5.7714839054435363E-2</v>
          </cell>
          <cell r="AP173">
            <v>8.97698630073063E-2</v>
          </cell>
          <cell r="AQ173">
            <v>0.1247086939535057</v>
          </cell>
          <cell r="AR173">
            <v>0.16278975891238576</v>
          </cell>
          <cell r="AS173">
            <v>0.20429562211295449</v>
          </cell>
          <cell r="AT173">
            <v>0.24953356258006471</v>
          </cell>
          <cell r="AU173">
            <v>0.29884164341714015</v>
          </cell>
          <cell r="AW173">
            <v>9</v>
          </cell>
          <cell r="AY173">
            <v>1</v>
          </cell>
          <cell r="AZ173">
            <v>0.8</v>
          </cell>
          <cell r="BA173">
            <v>1</v>
          </cell>
          <cell r="BC173">
            <v>3.1197620191592681</v>
          </cell>
          <cell r="BD173">
            <v>4.362482741590739</v>
          </cell>
          <cell r="BE173">
            <v>5.2773818557826795</v>
          </cell>
          <cell r="BF173">
            <v>6.5982384085371937</v>
          </cell>
          <cell r="BG173">
            <v>8.3772058240933003</v>
          </cell>
          <cell r="BH173">
            <v>10.672555670672521</v>
          </cell>
          <cell r="BI173">
            <v>13.549299676842926</v>
          </cell>
          <cell r="BJ173">
            <v>17.08012816665914</v>
          </cell>
          <cell r="BL173">
            <v>266813.89176681306</v>
          </cell>
        </row>
        <row r="174">
          <cell r="A174">
            <v>10001065</v>
          </cell>
          <cell r="B174">
            <v>2</v>
          </cell>
          <cell r="C174" t="str">
            <v>E12</v>
          </cell>
          <cell r="D174" t="str">
            <v>RPH</v>
          </cell>
          <cell r="E174">
            <v>29</v>
          </cell>
          <cell r="F174" t="str">
            <v>M</v>
          </cell>
          <cell r="G174">
            <v>35092</v>
          </cell>
          <cell r="H174">
            <v>1</v>
          </cell>
          <cell r="I174">
            <v>2750000</v>
          </cell>
          <cell r="J174">
            <v>177100</v>
          </cell>
          <cell r="K174">
            <v>177100</v>
          </cell>
          <cell r="L174">
            <v>177100</v>
          </cell>
          <cell r="M174">
            <v>12</v>
          </cell>
          <cell r="N174">
            <v>12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T174">
            <v>4800</v>
          </cell>
          <cell r="U174">
            <v>4800</v>
          </cell>
          <cell r="W174">
            <v>1460499.9338165896</v>
          </cell>
          <cell r="X174">
            <v>0</v>
          </cell>
          <cell r="Y174">
            <v>0</v>
          </cell>
          <cell r="Z174">
            <v>9600</v>
          </cell>
          <cell r="AB174">
            <v>138603.49122556945</v>
          </cell>
          <cell r="AC174">
            <v>0</v>
          </cell>
          <cell r="AD174">
            <v>0</v>
          </cell>
          <cell r="AE174">
            <v>4800</v>
          </cell>
          <cell r="AH174">
            <v>93</v>
          </cell>
          <cell r="AI174">
            <v>84</v>
          </cell>
          <cell r="AJ174">
            <v>1</v>
          </cell>
          <cell r="AK174">
            <v>5.040126953657071E-2</v>
          </cell>
          <cell r="AL174">
            <v>0</v>
          </cell>
          <cell r="AM174">
            <v>1.6727430991384795E-2</v>
          </cell>
          <cell r="AN174">
            <v>7.2558041235566251E-2</v>
          </cell>
          <cell r="AO174">
            <v>0.13343706545632145</v>
          </cell>
          <cell r="AP174">
            <v>0.19981895664819643</v>
          </cell>
          <cell r="AQ174">
            <v>0.27220412781318742</v>
          </cell>
          <cell r="AR174">
            <v>0.35113736669285445</v>
          </cell>
          <cell r="AS174">
            <v>0.43721552006033704</v>
          </cell>
          <cell r="AT174">
            <v>0.53109088502421442</v>
          </cell>
          <cell r="AU174">
            <v>0.63348107949384325</v>
          </cell>
          <cell r="AW174">
            <v>0</v>
          </cell>
          <cell r="AY174">
            <v>0</v>
          </cell>
          <cell r="AZ174">
            <v>0</v>
          </cell>
          <cell r="BA174">
            <v>1</v>
          </cell>
          <cell r="BC174">
            <v>5.7996638223503858</v>
          </cell>
          <cell r="BD174">
            <v>9.4073141908551374</v>
          </cell>
          <cell r="BE174">
            <v>11.584201996209849</v>
          </cell>
          <cell r="BF174">
            <v>14.593806412676763</v>
          </cell>
          <cell r="BG174">
            <v>18.543818406453823</v>
          </cell>
          <cell r="BH174">
            <v>23.55474564098105</v>
          </cell>
          <cell r="BI174">
            <v>29.761349103703143</v>
          </cell>
          <cell r="BJ174">
            <v>37.314510601830257</v>
          </cell>
          <cell r="BL174">
            <v>64775.55051269789</v>
          </cell>
        </row>
        <row r="175">
          <cell r="A175">
            <v>10001065</v>
          </cell>
          <cell r="B175">
            <v>3</v>
          </cell>
          <cell r="C175" t="str">
            <v>E15</v>
          </cell>
          <cell r="D175" t="str">
            <v>RPH</v>
          </cell>
          <cell r="E175">
            <v>29</v>
          </cell>
          <cell r="F175" t="str">
            <v>M</v>
          </cell>
          <cell r="G175">
            <v>35092</v>
          </cell>
          <cell r="H175">
            <v>1</v>
          </cell>
          <cell r="I175">
            <v>3000000</v>
          </cell>
          <cell r="J175">
            <v>138600</v>
          </cell>
          <cell r="K175">
            <v>138600</v>
          </cell>
          <cell r="L175">
            <v>138600</v>
          </cell>
          <cell r="M175">
            <v>15</v>
          </cell>
          <cell r="N175">
            <v>15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T175">
            <v>4000</v>
          </cell>
          <cell r="U175">
            <v>4000</v>
          </cell>
          <cell r="W175">
            <v>1061284.4328453394</v>
          </cell>
          <cell r="X175">
            <v>0</v>
          </cell>
          <cell r="Y175">
            <v>0</v>
          </cell>
          <cell r="Z175">
            <v>8000</v>
          </cell>
          <cell r="AB175">
            <v>106489.49910968126</v>
          </cell>
          <cell r="AC175">
            <v>0</v>
          </cell>
          <cell r="AD175">
            <v>0</v>
          </cell>
          <cell r="AE175">
            <v>4000</v>
          </cell>
          <cell r="AH175">
            <v>93</v>
          </cell>
          <cell r="AI175">
            <v>84</v>
          </cell>
          <cell r="AJ175">
            <v>1</v>
          </cell>
          <cell r="AK175">
            <v>3.5496499703227088E-2</v>
          </cell>
          <cell r="AL175">
            <v>0</v>
          </cell>
          <cell r="AM175">
            <v>1.207372761295511E-3</v>
          </cell>
          <cell r="AN175">
            <v>3.9505543054628001E-2</v>
          </cell>
          <cell r="AO175">
            <v>8.1258529453892447E-2</v>
          </cell>
          <cell r="AP175">
            <v>0.12677536528416289</v>
          </cell>
          <cell r="AQ175">
            <v>0.17639660514283698</v>
          </cell>
          <cell r="AR175">
            <v>0.23049211617235491</v>
          </cell>
          <cell r="AS175">
            <v>0.28946668418216981</v>
          </cell>
          <cell r="AT175">
            <v>0.35376147761511312</v>
          </cell>
          <cell r="AU175">
            <v>0.4238619057784499</v>
          </cell>
          <cell r="AW175">
            <v>0</v>
          </cell>
          <cell r="AY175">
            <v>0</v>
          </cell>
          <cell r="AZ175">
            <v>0</v>
          </cell>
          <cell r="BA175">
            <v>1</v>
          </cell>
          <cell r="BC175">
            <v>4.1577730975562854</v>
          </cell>
          <cell r="BD175">
            <v>6.3155898974637381</v>
          </cell>
          <cell r="BE175">
            <v>7.7185205559149317</v>
          </cell>
          <cell r="BF175">
            <v>9.6923537293325683</v>
          </cell>
          <cell r="BG175">
            <v>12.310655027540745</v>
          </cell>
          <cell r="BH175">
            <v>15.655676773405427</v>
          </cell>
          <cell r="BI175">
            <v>19.819283379793269</v>
          </cell>
          <cell r="BJ175">
            <v>24.904250615940136</v>
          </cell>
          <cell r="BL175">
            <v>46967.030320216283</v>
          </cell>
        </row>
        <row r="176">
          <cell r="A176">
            <v>10001111</v>
          </cell>
          <cell r="B176">
            <v>0</v>
          </cell>
          <cell r="C176" t="str">
            <v>CP18</v>
          </cell>
          <cell r="D176" t="str">
            <v>RPH</v>
          </cell>
          <cell r="E176">
            <v>21</v>
          </cell>
          <cell r="F176" t="str">
            <v>F</v>
          </cell>
          <cell r="G176">
            <v>35104</v>
          </cell>
          <cell r="H176">
            <v>1</v>
          </cell>
          <cell r="I176">
            <v>25000000</v>
          </cell>
          <cell r="J176">
            <v>2364500</v>
          </cell>
          <cell r="K176">
            <v>872500</v>
          </cell>
          <cell r="L176">
            <v>872500</v>
          </cell>
          <cell r="M176">
            <v>18</v>
          </cell>
          <cell r="N176">
            <v>18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T176">
            <v>60900</v>
          </cell>
          <cell r="U176">
            <v>23600</v>
          </cell>
          <cell r="W176">
            <v>6229461.8051432455</v>
          </cell>
          <cell r="X176">
            <v>0</v>
          </cell>
          <cell r="Y176">
            <v>0</v>
          </cell>
          <cell r="Z176">
            <v>47200</v>
          </cell>
          <cell r="AB176">
            <v>623067.63569865504</v>
          </cell>
          <cell r="AC176">
            <v>0</v>
          </cell>
          <cell r="AD176">
            <v>0</v>
          </cell>
          <cell r="AE176">
            <v>23600</v>
          </cell>
          <cell r="AH176">
            <v>92</v>
          </cell>
          <cell r="AI176">
            <v>84</v>
          </cell>
          <cell r="AJ176">
            <v>1</v>
          </cell>
          <cell r="AK176">
            <v>2.4922705427946203E-2</v>
          </cell>
          <cell r="AL176">
            <v>0</v>
          </cell>
          <cell r="AM176">
            <v>9.5619470828695041E-4</v>
          </cell>
          <cell r="AN176">
            <v>2.7924710657695334E-2</v>
          </cell>
          <cell r="AO176">
            <v>5.7323911734451893E-2</v>
          </cell>
          <cell r="AP176">
            <v>8.9371252738757095E-2</v>
          </cell>
          <cell r="AQ176">
            <v>0.12430879852073359</v>
          </cell>
          <cell r="AR176">
            <v>0.16239580759790309</v>
          </cell>
          <cell r="AS176">
            <v>0.20391534062929542</v>
          </cell>
          <cell r="AT176">
            <v>0.24917847220572981</v>
          </cell>
          <cell r="AU176">
            <v>0.29852451446435802</v>
          </cell>
          <cell r="AW176">
            <v>0</v>
          </cell>
          <cell r="AY176">
            <v>0</v>
          </cell>
          <cell r="AZ176">
            <v>0</v>
          </cell>
          <cell r="BA176">
            <v>1</v>
          </cell>
          <cell r="BC176">
            <v>3.1051059162635277</v>
          </cell>
          <cell r="BD176">
            <v>4.3428237589535712</v>
          </cell>
          <cell r="BE176">
            <v>5.2568636108114122</v>
          </cell>
          <cell r="BF176">
            <v>6.5768307568433579</v>
          </cell>
          <cell r="BG176">
            <v>8.3549973330103366</v>
          </cell>
          <cell r="BH176">
            <v>10.649754814310874</v>
          </cell>
          <cell r="BI176">
            <v>13.526408224777825</v>
          </cell>
          <cell r="BJ176">
            <v>17.057880915841011</v>
          </cell>
          <cell r="BL176">
            <v>266243.87035777187</v>
          </cell>
        </row>
        <row r="177">
          <cell r="A177">
            <v>10001111</v>
          </cell>
          <cell r="B177">
            <v>2</v>
          </cell>
          <cell r="C177" t="str">
            <v>E11</v>
          </cell>
          <cell r="D177" t="str">
            <v>RPH</v>
          </cell>
          <cell r="E177">
            <v>21</v>
          </cell>
          <cell r="F177" t="str">
            <v>F</v>
          </cell>
          <cell r="G177">
            <v>35104</v>
          </cell>
          <cell r="H177">
            <v>1</v>
          </cell>
          <cell r="I177">
            <v>10000000</v>
          </cell>
          <cell r="J177">
            <v>721000</v>
          </cell>
          <cell r="K177">
            <v>721000</v>
          </cell>
          <cell r="L177">
            <v>721000</v>
          </cell>
          <cell r="M177">
            <v>11</v>
          </cell>
          <cell r="N177">
            <v>11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T177">
            <v>17300</v>
          </cell>
          <cell r="U177">
            <v>17300</v>
          </cell>
          <cell r="W177">
            <v>6143461.3790776851</v>
          </cell>
          <cell r="X177">
            <v>0</v>
          </cell>
          <cell r="Y177">
            <v>0</v>
          </cell>
          <cell r="Z177">
            <v>34600</v>
          </cell>
          <cell r="AB177">
            <v>572888.02449162584</v>
          </cell>
          <cell r="AC177">
            <v>0</v>
          </cell>
          <cell r="AD177">
            <v>0</v>
          </cell>
          <cell r="AE177">
            <v>17300</v>
          </cell>
          <cell r="AH177">
            <v>92</v>
          </cell>
          <cell r="AI177">
            <v>84</v>
          </cell>
          <cell r="AJ177">
            <v>1</v>
          </cell>
          <cell r="AK177">
            <v>5.7288802449162582E-2</v>
          </cell>
          <cell r="AL177">
            <v>0</v>
          </cell>
          <cell r="AM177">
            <v>2.369413168792206E-2</v>
          </cell>
          <cell r="AN177">
            <v>8.7800024098819152E-2</v>
          </cell>
          <cell r="AO177">
            <v>0.15770353932773568</v>
          </cell>
          <cell r="AP177">
            <v>0.23392756895796069</v>
          </cell>
          <cell r="AQ177">
            <v>0.31705015813321669</v>
          </cell>
          <cell r="AR177">
            <v>0.40769518107158054</v>
          </cell>
          <cell r="AS177">
            <v>0.50654466037232193</v>
          </cell>
          <cell r="AT177">
            <v>0.61434613790776849</v>
          </cell>
          <cell r="AU177">
            <v>0.73191546243124705</v>
          </cell>
          <cell r="AW177">
            <v>0</v>
          </cell>
          <cell r="AY177">
            <v>0</v>
          </cell>
          <cell r="AZ177">
            <v>0</v>
          </cell>
          <cell r="BA177">
            <v>1</v>
          </cell>
          <cell r="BC177">
            <v>6.5517679671027693</v>
          </cell>
          <cell r="BD177">
            <v>10.836494495761213</v>
          </cell>
          <cell r="BE177">
            <v>13.377340526756733</v>
          </cell>
          <cell r="BF177">
            <v>16.873969355273633</v>
          </cell>
          <cell r="BG177">
            <v>21.449982509679323</v>
          </cell>
          <cell r="BH177">
            <v>27.243587273470997</v>
          </cell>
          <cell r="BI177">
            <v>34.409363058099963</v>
          </cell>
          <cell r="BJ177">
            <v>43.120013778138286</v>
          </cell>
          <cell r="BL177">
            <v>272435.87273470999</v>
          </cell>
        </row>
        <row r="178">
          <cell r="A178">
            <v>10001111</v>
          </cell>
          <cell r="B178">
            <v>3</v>
          </cell>
          <cell r="C178" t="str">
            <v>E14</v>
          </cell>
          <cell r="D178" t="str">
            <v>RPH</v>
          </cell>
          <cell r="E178">
            <v>21</v>
          </cell>
          <cell r="F178" t="str">
            <v>F</v>
          </cell>
          <cell r="G178">
            <v>35104</v>
          </cell>
          <cell r="H178">
            <v>1</v>
          </cell>
          <cell r="I178">
            <v>15000000</v>
          </cell>
          <cell r="J178">
            <v>771000</v>
          </cell>
          <cell r="K178">
            <v>771000</v>
          </cell>
          <cell r="L178">
            <v>771000</v>
          </cell>
          <cell r="M178">
            <v>14</v>
          </cell>
          <cell r="N178">
            <v>14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T178">
            <v>20000</v>
          </cell>
          <cell r="U178">
            <v>20000</v>
          </cell>
          <cell r="W178">
            <v>6050723.9231810551</v>
          </cell>
          <cell r="X178">
            <v>0</v>
          </cell>
          <cell r="Y178">
            <v>0</v>
          </cell>
          <cell r="Z178">
            <v>40000</v>
          </cell>
          <cell r="AB178">
            <v>593838.85187959298</v>
          </cell>
          <cell r="AC178">
            <v>0</v>
          </cell>
          <cell r="AD178">
            <v>0</v>
          </cell>
          <cell r="AE178">
            <v>20000</v>
          </cell>
          <cell r="AH178">
            <v>92</v>
          </cell>
          <cell r="AI178">
            <v>84</v>
          </cell>
          <cell r="AJ178">
            <v>1</v>
          </cell>
          <cell r="AK178">
            <v>3.9589256791972866E-2</v>
          </cell>
          <cell r="AL178">
            <v>0</v>
          </cell>
          <cell r="AM178">
            <v>5.2319985002790004E-3</v>
          </cell>
          <cell r="AN178">
            <v>4.8466727251271213E-2</v>
          </cell>
          <cell r="AO178">
            <v>9.5605019561063098E-2</v>
          </cell>
          <cell r="AP178">
            <v>0.14699752716236192</v>
          </cell>
          <cell r="AQ178">
            <v>0.20303327019793715</v>
          </cell>
          <cell r="AR178">
            <v>0.26413047901409292</v>
          </cell>
          <cell r="AS178">
            <v>0.33074608511283599</v>
          </cell>
          <cell r="AT178">
            <v>0.40338159487873704</v>
          </cell>
          <cell r="AU178">
            <v>0.4825841952851157</v>
          </cell>
          <cell r="AW178">
            <v>0</v>
          </cell>
          <cell r="AY178">
            <v>0</v>
          </cell>
          <cell r="AZ178">
            <v>0</v>
          </cell>
          <cell r="BA178">
            <v>1</v>
          </cell>
          <cell r="BC178">
            <v>4.6033756849132814</v>
          </cell>
          <cell r="BD178">
            <v>7.1645946186039584</v>
          </cell>
          <cell r="BE178">
            <v>8.7849388577228247</v>
          </cell>
          <cell r="BF178">
            <v>11.049857417083729</v>
          </cell>
          <cell r="BG178">
            <v>14.042534450344906</v>
          </cell>
          <cell r="BH178">
            <v>17.855939556658182</v>
          </cell>
          <cell r="BI178">
            <v>22.594050456400655</v>
          </cell>
          <cell r="BJ178">
            <v>28.373005360536926</v>
          </cell>
          <cell r="BL178">
            <v>267839.09334987274</v>
          </cell>
        </row>
        <row r="179">
          <cell r="A179">
            <v>10001121</v>
          </cell>
          <cell r="B179">
            <v>0</v>
          </cell>
          <cell r="C179" t="str">
            <v>CP8</v>
          </cell>
          <cell r="D179" t="str">
            <v>RPH</v>
          </cell>
          <cell r="E179">
            <v>36</v>
          </cell>
          <cell r="F179" t="str">
            <v>F</v>
          </cell>
          <cell r="G179">
            <v>35103</v>
          </cell>
          <cell r="H179">
            <v>1</v>
          </cell>
          <cell r="I179">
            <v>8000000</v>
          </cell>
          <cell r="J179">
            <v>894400</v>
          </cell>
          <cell r="K179">
            <v>894400</v>
          </cell>
          <cell r="L179">
            <v>894400</v>
          </cell>
          <cell r="M179">
            <v>8</v>
          </cell>
          <cell r="N179">
            <v>8</v>
          </cell>
          <cell r="O179">
            <v>8000000</v>
          </cell>
          <cell r="P179">
            <v>20000</v>
          </cell>
          <cell r="Q179">
            <v>0</v>
          </cell>
          <cell r="R179">
            <v>0</v>
          </cell>
          <cell r="T179">
            <v>28600</v>
          </cell>
          <cell r="U179">
            <v>28600</v>
          </cell>
          <cell r="W179">
            <v>8000000</v>
          </cell>
          <cell r="X179">
            <v>20000</v>
          </cell>
          <cell r="Y179">
            <v>0</v>
          </cell>
          <cell r="Z179">
            <v>57200</v>
          </cell>
          <cell r="AB179">
            <v>718335.61080826144</v>
          </cell>
          <cell r="AC179">
            <v>20000</v>
          </cell>
          <cell r="AD179">
            <v>0</v>
          </cell>
          <cell r="AE179">
            <v>28600</v>
          </cell>
          <cell r="AH179">
            <v>92</v>
          </cell>
          <cell r="AI179">
            <v>84</v>
          </cell>
          <cell r="AJ179">
            <v>1</v>
          </cell>
          <cell r="AK179">
            <v>8.9791951351032684E-2</v>
          </cell>
          <cell r="AL179">
            <v>0</v>
          </cell>
          <cell r="AM179">
            <v>5.7822274313039768E-2</v>
          </cell>
          <cell r="AN179">
            <v>0.15991597001546792</v>
          </cell>
          <cell r="AO179">
            <v>0.27125406418897857</v>
          </cell>
          <cell r="AP179">
            <v>0.39269779619574063</v>
          </cell>
          <cell r="AQ179">
            <v>0.52519521246140188</v>
          </cell>
          <cell r="AR179">
            <v>0.66979241408639623</v>
          </cell>
          <cell r="AS179">
            <v>0.82763924130951783</v>
          </cell>
          <cell r="AT179">
            <v>1</v>
          </cell>
          <cell r="AU179" t="str">
            <v/>
          </cell>
          <cell r="AW179">
            <v>0</v>
          </cell>
          <cell r="AY179">
            <v>1</v>
          </cell>
          <cell r="AZ179">
            <v>0</v>
          </cell>
          <cell r="BA179">
            <v>1</v>
          </cell>
          <cell r="BC179">
            <v>10.133923113216746</v>
          </cell>
          <cell r="BD179">
            <v>18.175573790319973</v>
          </cell>
          <cell r="BE179">
            <v>23.14637124492247</v>
          </cell>
          <cell r="BF179">
            <v>29.994492256779438</v>
          </cell>
          <cell r="BG179">
            <v>38.169855373811821</v>
          </cell>
          <cell r="BH179">
            <v>48.358047976287672</v>
          </cell>
          <cell r="BI179" t="str">
            <v/>
          </cell>
          <cell r="BJ179" t="str">
            <v/>
          </cell>
          <cell r="BL179">
            <v>386864.38381030137</v>
          </cell>
        </row>
        <row r="180">
          <cell r="A180">
            <v>10001128</v>
          </cell>
          <cell r="B180">
            <v>0</v>
          </cell>
          <cell r="C180" t="str">
            <v>CP16</v>
          </cell>
          <cell r="D180" t="str">
            <v>RPH</v>
          </cell>
          <cell r="E180">
            <v>30</v>
          </cell>
          <cell r="F180" t="str">
            <v>F</v>
          </cell>
          <cell r="G180">
            <v>35097</v>
          </cell>
          <cell r="H180">
            <v>2</v>
          </cell>
          <cell r="I180">
            <v>30000000</v>
          </cell>
          <cell r="J180">
            <v>803400</v>
          </cell>
          <cell r="K180">
            <v>655200</v>
          </cell>
          <cell r="L180">
            <v>1310400</v>
          </cell>
          <cell r="M180">
            <v>16</v>
          </cell>
          <cell r="N180">
            <v>16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T180">
            <v>24600</v>
          </cell>
          <cell r="U180">
            <v>40600</v>
          </cell>
          <cell r="W180">
            <v>9411081.4241173454</v>
          </cell>
          <cell r="X180">
            <v>0</v>
          </cell>
          <cell r="Y180">
            <v>0</v>
          </cell>
          <cell r="Z180">
            <v>81200</v>
          </cell>
          <cell r="AB180">
            <v>943964.58558408113</v>
          </cell>
          <cell r="AC180">
            <v>0</v>
          </cell>
          <cell r="AD180">
            <v>0</v>
          </cell>
          <cell r="AE180">
            <v>40600</v>
          </cell>
          <cell r="AH180">
            <v>92</v>
          </cell>
          <cell r="AI180">
            <v>84</v>
          </cell>
          <cell r="AJ180">
            <v>2</v>
          </cell>
          <cell r="AK180">
            <v>3.1465486186136038E-2</v>
          </cell>
          <cell r="AL180">
            <v>0</v>
          </cell>
          <cell r="AM180">
            <v>1.1447688993119765E-3</v>
          </cell>
          <cell r="AN180">
            <v>3.5113849481946235E-2</v>
          </cell>
          <cell r="AO180">
            <v>7.2142026972248641E-2</v>
          </cell>
          <cell r="AP180">
            <v>0.11250177799330682</v>
          </cell>
          <cell r="AQ180">
            <v>0.15649655425334566</v>
          </cell>
          <cell r="AR180">
            <v>0.2044525156195903</v>
          </cell>
          <cell r="AS180">
            <v>0.25672427052392066</v>
          </cell>
          <cell r="AT180">
            <v>0.31370271413724482</v>
          </cell>
          <cell r="AU180">
            <v>0.37581393420156817</v>
          </cell>
          <cell r="AW180">
            <v>0</v>
          </cell>
          <cell r="AY180">
            <v>0</v>
          </cell>
          <cell r="AZ180">
            <v>0</v>
          </cell>
          <cell r="BA180">
            <v>1</v>
          </cell>
          <cell r="BC180">
            <v>3.7596901526578921</v>
          </cell>
          <cell r="BD180">
            <v>5.5687083070922769</v>
          </cell>
          <cell r="BE180">
            <v>6.7858176453265653</v>
          </cell>
          <cell r="BF180">
            <v>8.5109280096649247</v>
          </cell>
          <cell r="BG180">
            <v>10.809382839434036</v>
          </cell>
          <cell r="BH180">
            <v>13.754113150995895</v>
          </cell>
          <cell r="BI180">
            <v>17.426707398204872</v>
          </cell>
          <cell r="BJ180">
            <v>21.91824922128437</v>
          </cell>
          <cell r="BL180">
            <v>412623.39452987682</v>
          </cell>
        </row>
        <row r="181">
          <cell r="A181">
            <v>10001128</v>
          </cell>
          <cell r="B181">
            <v>1</v>
          </cell>
          <cell r="C181" t="str">
            <v>E13</v>
          </cell>
          <cell r="D181" t="str">
            <v>RPH</v>
          </cell>
          <cell r="E181">
            <v>30</v>
          </cell>
          <cell r="F181" t="str">
            <v>F</v>
          </cell>
          <cell r="G181">
            <v>35097</v>
          </cell>
          <cell r="H181">
            <v>2</v>
          </cell>
          <cell r="I181">
            <v>5000000</v>
          </cell>
          <cell r="J181">
            <v>148200</v>
          </cell>
          <cell r="K181">
            <v>148200</v>
          </cell>
          <cell r="L181">
            <v>296400</v>
          </cell>
          <cell r="M181">
            <v>13</v>
          </cell>
          <cell r="N181">
            <v>13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T181">
            <v>4300</v>
          </cell>
          <cell r="U181">
            <v>8600</v>
          </cell>
          <cell r="W181">
            <v>2309221.6361996471</v>
          </cell>
          <cell r="X181">
            <v>0</v>
          </cell>
          <cell r="Y181">
            <v>0</v>
          </cell>
          <cell r="Z181">
            <v>17200</v>
          </cell>
          <cell r="AB181">
            <v>222899.75600165082</v>
          </cell>
          <cell r="AC181">
            <v>0</v>
          </cell>
          <cell r="AD181">
            <v>0</v>
          </cell>
          <cell r="AE181">
            <v>8600</v>
          </cell>
          <cell r="AH181">
            <v>92</v>
          </cell>
          <cell r="AI181">
            <v>84</v>
          </cell>
          <cell r="AJ181">
            <v>2</v>
          </cell>
          <cell r="AK181">
            <v>4.4579951200330162E-2</v>
          </cell>
          <cell r="AL181">
            <v>0</v>
          </cell>
          <cell r="AM181">
            <v>1.0571212497483218E-2</v>
          </cell>
          <cell r="AN181">
            <v>5.9579220152482681E-2</v>
          </cell>
          <cell r="AO181">
            <v>0.11301045548049865</v>
          </cell>
          <cell r="AP181">
            <v>0.17126142967653718</v>
          </cell>
          <cell r="AQ181">
            <v>0.23477258117301314</v>
          </cell>
          <cell r="AR181">
            <v>0.30401916580742894</v>
          </cell>
          <cell r="AS181">
            <v>0.37951938409420843</v>
          </cell>
          <cell r="AT181">
            <v>0.46184432723992946</v>
          </cell>
          <cell r="AU181">
            <v>0.55161836513076667</v>
          </cell>
          <cell r="AW181">
            <v>0</v>
          </cell>
          <cell r="AY181">
            <v>0</v>
          </cell>
          <cell r="AZ181">
            <v>0</v>
          </cell>
          <cell r="BA181">
            <v>1</v>
          </cell>
          <cell r="BC181">
            <v>5.1567027796761042</v>
          </cell>
          <cell r="BD181">
            <v>8.199083829890629</v>
          </cell>
          <cell r="BE181">
            <v>10.074387025321592</v>
          </cell>
          <cell r="BF181">
            <v>12.680231431938164</v>
          </cell>
          <cell r="BG181">
            <v>16.110906452264217</v>
          </cell>
          <cell r="BH181">
            <v>20.471779781202024</v>
          </cell>
          <cell r="BI181">
            <v>25.88081130338071</v>
          </cell>
          <cell r="BJ181">
            <v>32.469875941588242</v>
          </cell>
          <cell r="BL181">
            <v>102358.89890601012</v>
          </cell>
        </row>
        <row r="182">
          <cell r="A182">
            <v>10001149</v>
          </cell>
          <cell r="B182">
            <v>0</v>
          </cell>
          <cell r="C182" t="str">
            <v>CP18</v>
          </cell>
          <cell r="D182" t="str">
            <v>RPH</v>
          </cell>
          <cell r="E182">
            <v>37</v>
          </cell>
          <cell r="F182" t="str">
            <v>F</v>
          </cell>
          <cell r="G182">
            <v>35123</v>
          </cell>
          <cell r="H182">
            <v>2</v>
          </cell>
          <cell r="I182">
            <v>32409000</v>
          </cell>
          <cell r="J182">
            <v>598300</v>
          </cell>
          <cell r="K182">
            <v>598300</v>
          </cell>
          <cell r="L182">
            <v>1196600</v>
          </cell>
          <cell r="M182">
            <v>18</v>
          </cell>
          <cell r="N182">
            <v>18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T182">
            <v>25700</v>
          </cell>
          <cell r="U182">
            <v>51400</v>
          </cell>
          <cell r="W182">
            <v>8094446.3989552921</v>
          </cell>
          <cell r="X182">
            <v>0</v>
          </cell>
          <cell r="Y182">
            <v>0</v>
          </cell>
          <cell r="Z182">
            <v>102800</v>
          </cell>
          <cell r="AB182">
            <v>815260.55849775882</v>
          </cell>
          <cell r="AC182">
            <v>0</v>
          </cell>
          <cell r="AD182">
            <v>0</v>
          </cell>
          <cell r="AE182">
            <v>51400</v>
          </cell>
          <cell r="AH182">
            <v>92</v>
          </cell>
          <cell r="AI182">
            <v>84</v>
          </cell>
          <cell r="AJ182">
            <v>2</v>
          </cell>
          <cell r="AK182">
            <v>2.5155375312344064E-2</v>
          </cell>
          <cell r="AL182">
            <v>0</v>
          </cell>
          <cell r="AM182">
            <v>1.7370764298471064E-3</v>
          </cell>
          <cell r="AN182">
            <v>2.8766280419208812E-2</v>
          </cell>
          <cell r="AO182">
            <v>5.8197407937546491E-2</v>
          </cell>
          <cell r="AP182">
            <v>9.0246448193390949E-2</v>
          </cell>
          <cell r="AQ182">
            <v>0.12515224161458616</v>
          </cell>
          <cell r="AR182">
            <v>0.16317608940581743</v>
          </cell>
          <cell r="AS182">
            <v>0.20460813358505314</v>
          </cell>
          <cell r="AT182">
            <v>0.24975921500062612</v>
          </cell>
          <cell r="AU182">
            <v>0.29897362947817618</v>
          </cell>
          <cell r="AW182">
            <v>0</v>
          </cell>
          <cell r="AY182">
            <v>0</v>
          </cell>
          <cell r="AZ182">
            <v>0</v>
          </cell>
          <cell r="BA182">
            <v>1</v>
          </cell>
          <cell r="BC182">
            <v>3.1433701130107741</v>
          </cell>
          <cell r="BD182">
            <v>4.3958351763244883</v>
          </cell>
          <cell r="BE182">
            <v>5.3118209131559908</v>
          </cell>
          <cell r="BF182">
            <v>6.6329417551671463</v>
          </cell>
          <cell r="BG182">
            <v>8.411030088383967</v>
          </cell>
          <cell r="BH182">
            <v>10.704312372393165</v>
          </cell>
          <cell r="BI182">
            <v>13.577725151417747</v>
          </cell>
          <cell r="BJ182">
            <v>17.104114697702993</v>
          </cell>
          <cell r="BL182">
            <v>346916.05967689009</v>
          </cell>
        </row>
        <row r="183">
          <cell r="A183">
            <v>10001186</v>
          </cell>
          <cell r="B183">
            <v>0</v>
          </cell>
          <cell r="C183" t="str">
            <v>CP16</v>
          </cell>
          <cell r="D183" t="str">
            <v>RPH</v>
          </cell>
          <cell r="E183">
            <v>31</v>
          </cell>
          <cell r="F183" t="str">
            <v>M</v>
          </cell>
          <cell r="G183">
            <v>35123</v>
          </cell>
          <cell r="H183">
            <v>2</v>
          </cell>
          <cell r="I183">
            <v>42000000</v>
          </cell>
          <cell r="J183">
            <v>919500</v>
          </cell>
          <cell r="K183">
            <v>919500</v>
          </cell>
          <cell r="L183">
            <v>1839000</v>
          </cell>
          <cell r="M183">
            <v>16</v>
          </cell>
          <cell r="N183">
            <v>16</v>
          </cell>
          <cell r="O183">
            <v>0</v>
          </cell>
          <cell r="P183">
            <v>0</v>
          </cell>
          <cell r="Q183">
            <v>70000000</v>
          </cell>
          <cell r="R183">
            <v>448000</v>
          </cell>
          <cell r="T183">
            <v>39700</v>
          </cell>
          <cell r="U183">
            <v>79400</v>
          </cell>
          <cell r="W183">
            <v>13177726.021410532</v>
          </cell>
          <cell r="X183">
            <v>0</v>
          </cell>
          <cell r="Y183">
            <v>119466.66666666667</v>
          </cell>
          <cell r="Z183">
            <v>158800</v>
          </cell>
          <cell r="AB183">
            <v>1323274.973631033</v>
          </cell>
          <cell r="AC183">
            <v>0</v>
          </cell>
          <cell r="AD183">
            <v>358400</v>
          </cell>
          <cell r="AE183">
            <v>79400</v>
          </cell>
          <cell r="AH183">
            <v>92</v>
          </cell>
          <cell r="AI183">
            <v>84</v>
          </cell>
          <cell r="AJ183">
            <v>2</v>
          </cell>
          <cell r="AK183">
            <v>3.1506546991215072E-2</v>
          </cell>
          <cell r="AL183">
            <v>0</v>
          </cell>
          <cell r="AM183">
            <v>1.3081862609058414E-3</v>
          </cell>
          <cell r="AN183">
            <v>3.527443154218729E-2</v>
          </cell>
          <cell r="AO183">
            <v>7.229619582183705E-2</v>
          </cell>
          <cell r="AP183">
            <v>0.11264706997320934</v>
          </cell>
          <cell r="AQ183">
            <v>0.15662637544064101</v>
          </cell>
          <cell r="AR183">
            <v>0.20455947034993704</v>
          </cell>
          <cell r="AS183">
            <v>0.25680493802654636</v>
          </cell>
          <cell r="AT183">
            <v>0.31375538146215554</v>
          </cell>
          <cell r="AU183">
            <v>0.37583903590826229</v>
          </cell>
          <cell r="AW183">
            <v>2</v>
          </cell>
          <cell r="AY183">
            <v>0</v>
          </cell>
          <cell r="AZ183">
            <v>0.8</v>
          </cell>
          <cell r="BA183">
            <v>1</v>
          </cell>
          <cell r="BC183">
            <v>3.7667998877226645</v>
          </cell>
          <cell r="BD183">
            <v>5.5777140236479941</v>
          </cell>
          <cell r="BE183">
            <v>6.7947879745113795</v>
          </cell>
          <cell r="BF183">
            <v>8.519644637135567</v>
          </cell>
          <cell r="BG183">
            <v>10.817503313345643</v>
          </cell>
          <cell r="BH183">
            <v>13.761358749996274</v>
          </cell>
          <cell r="BI183">
            <v>17.432840677607203</v>
          </cell>
          <cell r="BJ183">
            <v>21.923135517910051</v>
          </cell>
          <cell r="BL183">
            <v>577977.06749984343</v>
          </cell>
        </row>
        <row r="184">
          <cell r="A184">
            <v>10001214</v>
          </cell>
          <cell r="B184">
            <v>0</v>
          </cell>
          <cell r="C184" t="str">
            <v>CP18</v>
          </cell>
          <cell r="D184" t="str">
            <v>RPH</v>
          </cell>
          <cell r="E184">
            <v>30</v>
          </cell>
          <cell r="F184" t="str">
            <v>F</v>
          </cell>
          <cell r="G184">
            <v>35146</v>
          </cell>
          <cell r="H184">
            <v>1</v>
          </cell>
          <cell r="I184">
            <v>28500000</v>
          </cell>
          <cell r="J184">
            <v>1318100</v>
          </cell>
          <cell r="K184">
            <v>1003200</v>
          </cell>
          <cell r="L184">
            <v>1003200</v>
          </cell>
          <cell r="M184">
            <v>18</v>
          </cell>
          <cell r="N184">
            <v>18</v>
          </cell>
          <cell r="O184">
            <v>0</v>
          </cell>
          <cell r="P184">
            <v>0</v>
          </cell>
          <cell r="Q184">
            <v>44000000</v>
          </cell>
          <cell r="R184">
            <v>127600</v>
          </cell>
          <cell r="T184">
            <v>47300</v>
          </cell>
          <cell r="U184">
            <v>38200</v>
          </cell>
          <cell r="W184">
            <v>7111211.6867860835</v>
          </cell>
          <cell r="X184">
            <v>0</v>
          </cell>
          <cell r="Y184">
            <v>42533.333333333336</v>
          </cell>
          <cell r="Z184">
            <v>76400</v>
          </cell>
          <cell r="AB184">
            <v>712572.81028845056</v>
          </cell>
          <cell r="AC184">
            <v>0</v>
          </cell>
          <cell r="AD184">
            <v>102080</v>
          </cell>
          <cell r="AE184">
            <v>38200</v>
          </cell>
          <cell r="AH184">
            <v>91</v>
          </cell>
          <cell r="AI184">
            <v>84</v>
          </cell>
          <cell r="AJ184">
            <v>1</v>
          </cell>
          <cell r="AK184">
            <v>2.5002554746963179E-2</v>
          </cell>
          <cell r="AL184">
            <v>0</v>
          </cell>
          <cell r="AM184">
            <v>1.213355852153597E-3</v>
          </cell>
          <cell r="AN184">
            <v>2.8210106334236679E-2</v>
          </cell>
          <cell r="AO184">
            <v>5.7635126200509923E-2</v>
          </cell>
          <cell r="AP184">
            <v>8.970397247843459E-2</v>
          </cell>
          <cell r="AQ184">
            <v>0.1246569973415555</v>
          </cell>
          <cell r="AR184">
            <v>0.16275202159111832</v>
          </cell>
          <cell r="AS184">
            <v>0.20426891679555215</v>
          </cell>
          <cell r="AT184">
            <v>0.24951619953635382</v>
          </cell>
          <cell r="AU184">
            <v>0.29882960744633019</v>
          </cell>
          <cell r="AW184">
            <v>7</v>
          </cell>
          <cell r="AY184">
            <v>0</v>
          </cell>
          <cell r="AZ184">
            <v>0.8</v>
          </cell>
          <cell r="BA184">
            <v>1</v>
          </cell>
          <cell r="BC184">
            <v>3.1180445537854569</v>
          </cell>
          <cell r="BD184">
            <v>4.361285586304386</v>
          </cell>
          <cell r="BE184">
            <v>5.2766910698062963</v>
          </cell>
          <cell r="BF184">
            <v>6.5981615365876989</v>
          </cell>
          <cell r="BG184">
            <v>8.3778255186333492</v>
          </cell>
          <cell r="BH184">
            <v>10.673822520024972</v>
          </cell>
          <cell r="BI184">
            <v>13.55116803478616</v>
          </cell>
          <cell r="BJ184">
            <v>17.082384405928309</v>
          </cell>
          <cell r="BL184">
            <v>304203.94182071165</v>
          </cell>
        </row>
        <row r="185">
          <cell r="A185">
            <v>10001214</v>
          </cell>
          <cell r="B185">
            <v>2</v>
          </cell>
          <cell r="C185" t="str">
            <v>E12</v>
          </cell>
          <cell r="D185" t="str">
            <v>RPH</v>
          </cell>
          <cell r="E185">
            <v>30</v>
          </cell>
          <cell r="F185" t="str">
            <v>F</v>
          </cell>
          <cell r="G185">
            <v>35146</v>
          </cell>
          <cell r="H185">
            <v>1</v>
          </cell>
          <cell r="I185">
            <v>2850000</v>
          </cell>
          <cell r="J185">
            <v>183500</v>
          </cell>
          <cell r="K185">
            <v>183500</v>
          </cell>
          <cell r="L185">
            <v>183500</v>
          </cell>
          <cell r="M185">
            <v>12</v>
          </cell>
          <cell r="N185">
            <v>12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T185">
            <v>5200</v>
          </cell>
          <cell r="U185">
            <v>5200</v>
          </cell>
          <cell r="W185">
            <v>1513656.6338901692</v>
          </cell>
          <cell r="X185">
            <v>0</v>
          </cell>
          <cell r="Y185">
            <v>0</v>
          </cell>
          <cell r="Z185">
            <v>10400</v>
          </cell>
          <cell r="AB185">
            <v>143625.42262064212</v>
          </cell>
          <cell r="AC185">
            <v>0</v>
          </cell>
          <cell r="AD185">
            <v>0</v>
          </cell>
          <cell r="AE185">
            <v>5200</v>
          </cell>
          <cell r="AH185">
            <v>91</v>
          </cell>
          <cell r="AI185">
            <v>84</v>
          </cell>
          <cell r="AJ185">
            <v>1</v>
          </cell>
          <cell r="AK185">
            <v>5.039488513004986E-2</v>
          </cell>
          <cell r="AL185">
            <v>0</v>
          </cell>
          <cell r="AM185">
            <v>1.6630534511274941E-2</v>
          </cell>
          <cell r="AN185">
            <v>7.2486280657697355E-2</v>
          </cell>
          <cell r="AO185">
            <v>0.13338760930089533</v>
          </cell>
          <cell r="AP185">
            <v>0.19978793818695884</v>
          </cell>
          <cell r="AQ185">
            <v>0.27219040404430012</v>
          </cell>
          <cell r="AR185">
            <v>0.35113873881036689</v>
          </cell>
          <cell r="AS185">
            <v>0.4372264586815523</v>
          </cell>
          <cell r="AT185">
            <v>0.53110759083865589</v>
          </cell>
          <cell r="AU185">
            <v>0.63349798869478757</v>
          </cell>
          <cell r="AW185">
            <v>0</v>
          </cell>
          <cell r="AY185">
            <v>0</v>
          </cell>
          <cell r="AZ185">
            <v>0</v>
          </cell>
          <cell r="BA185">
            <v>1</v>
          </cell>
          <cell r="BC185">
            <v>5.7969741468371359</v>
          </cell>
          <cell r="BD185">
            <v>9.4051997721865952</v>
          </cell>
          <cell r="BE185">
            <v>11.582656575242741</v>
          </cell>
          <cell r="BF185">
            <v>14.592874053522237</v>
          </cell>
          <cell r="BG185">
            <v>18.543473354934378</v>
          </cell>
          <cell r="BH185">
            <v>23.55477558807258</v>
          </cell>
          <cell r="BI185">
            <v>29.761518494195403</v>
          </cell>
          <cell r="BJ185">
            <v>37.314414644194095</v>
          </cell>
          <cell r="BL185">
            <v>67131.110426006853</v>
          </cell>
        </row>
        <row r="186">
          <cell r="A186">
            <v>10001214</v>
          </cell>
          <cell r="B186">
            <v>3</v>
          </cell>
          <cell r="C186" t="str">
            <v>E15</v>
          </cell>
          <cell r="D186" t="str">
            <v>RPH</v>
          </cell>
          <cell r="E186">
            <v>30</v>
          </cell>
          <cell r="F186" t="str">
            <v>F</v>
          </cell>
          <cell r="G186">
            <v>35146</v>
          </cell>
          <cell r="H186">
            <v>1</v>
          </cell>
          <cell r="I186">
            <v>2850000</v>
          </cell>
          <cell r="J186">
            <v>131400</v>
          </cell>
          <cell r="K186">
            <v>131400</v>
          </cell>
          <cell r="L186">
            <v>131400</v>
          </cell>
          <cell r="M186">
            <v>15</v>
          </cell>
          <cell r="N186">
            <v>15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T186">
            <v>3900</v>
          </cell>
          <cell r="U186">
            <v>3900</v>
          </cell>
          <cell r="W186">
            <v>1008248.9279062536</v>
          </cell>
          <cell r="X186">
            <v>0</v>
          </cell>
          <cell r="Y186">
            <v>0</v>
          </cell>
          <cell r="Z186">
            <v>7800</v>
          </cell>
          <cell r="AB186">
            <v>101156.36609340199</v>
          </cell>
          <cell r="AC186">
            <v>0</v>
          </cell>
          <cell r="AD186">
            <v>0</v>
          </cell>
          <cell r="AE186">
            <v>3900</v>
          </cell>
          <cell r="AH186">
            <v>91</v>
          </cell>
          <cell r="AI186">
            <v>84</v>
          </cell>
          <cell r="AJ186">
            <v>1</v>
          </cell>
          <cell r="AK186">
            <v>3.5493461787158592E-2</v>
          </cell>
          <cell r="AL186">
            <v>0</v>
          </cell>
          <cell r="AM186">
            <v>1.1057793497086243E-3</v>
          </cell>
          <cell r="AN186">
            <v>3.9424903977017867E-2</v>
          </cell>
          <cell r="AO186">
            <v>8.1197251183289909E-2</v>
          </cell>
          <cell r="AP186">
            <v>0.12673099705558138</v>
          </cell>
          <cell r="AQ186">
            <v>0.17636911394408678</v>
          </cell>
          <cell r="AR186">
            <v>0.23048066093022165</v>
          </cell>
          <cell r="AS186">
            <v>0.28946724257730372</v>
          </cell>
          <cell r="AT186">
            <v>0.35377155365131707</v>
          </cell>
          <cell r="AU186">
            <v>0.42387659573199343</v>
          </cell>
          <cell r="AW186">
            <v>0</v>
          </cell>
          <cell r="AY186">
            <v>0</v>
          </cell>
          <cell r="AZ186">
            <v>0</v>
          </cell>
          <cell r="BA186">
            <v>1</v>
          </cell>
          <cell r="BC186">
            <v>4.155672159398172</v>
          </cell>
          <cell r="BD186">
            <v>6.3140891265604946</v>
          </cell>
          <cell r="BE186">
            <v>7.7175943159097411</v>
          </cell>
          <cell r="BF186">
            <v>9.6921021527369877</v>
          </cell>
          <cell r="BG186">
            <v>12.311138452499318</v>
          </cell>
          <cell r="BH186">
            <v>15.656798594767164</v>
          </cell>
          <cell r="BI186">
            <v>19.820943496232978</v>
          </cell>
          <cell r="BJ186">
            <v>24.906170413711685</v>
          </cell>
          <cell r="BL186">
            <v>44621.875995086419</v>
          </cell>
        </row>
        <row r="187">
          <cell r="A187">
            <v>10001236</v>
          </cell>
          <cell r="B187">
            <v>0</v>
          </cell>
          <cell r="C187" t="str">
            <v>CP17</v>
          </cell>
          <cell r="D187" t="str">
            <v>RPH</v>
          </cell>
          <cell r="E187">
            <v>29</v>
          </cell>
          <cell r="F187" t="str">
            <v>M</v>
          </cell>
          <cell r="G187">
            <v>35132</v>
          </cell>
          <cell r="H187">
            <v>1</v>
          </cell>
          <cell r="I187">
            <v>26042000</v>
          </cell>
          <cell r="J187">
            <v>1000000</v>
          </cell>
          <cell r="K187">
            <v>1000000</v>
          </cell>
          <cell r="L187">
            <v>1000000</v>
          </cell>
          <cell r="M187">
            <v>17</v>
          </cell>
          <cell r="N187">
            <v>17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W187">
            <v>7273441.2463204768</v>
          </cell>
          <cell r="X187">
            <v>0</v>
          </cell>
          <cell r="Y187">
            <v>0</v>
          </cell>
          <cell r="Z187">
            <v>0</v>
          </cell>
          <cell r="AB187">
            <v>729246.68838607136</v>
          </cell>
          <cell r="AC187">
            <v>0</v>
          </cell>
          <cell r="AD187">
            <v>0</v>
          </cell>
          <cell r="AE187">
            <v>0</v>
          </cell>
          <cell r="AH187">
            <v>91</v>
          </cell>
          <cell r="AI187">
            <v>84</v>
          </cell>
          <cell r="AJ187">
            <v>1</v>
          </cell>
          <cell r="AK187">
            <v>2.8002714399280829E-2</v>
          </cell>
          <cell r="AL187">
            <v>0</v>
          </cell>
          <cell r="AM187">
            <v>1.289001090078068E-3</v>
          </cell>
          <cell r="AN187">
            <v>3.1502657962537567E-2</v>
          </cell>
          <cell r="AO187">
            <v>6.4438200999124201E-2</v>
          </cell>
          <cell r="AP187">
            <v>0.10033827629125278</v>
          </cell>
          <cell r="AQ187">
            <v>0.13947035432967236</v>
          </cell>
          <cell r="AR187">
            <v>0.18212455791504065</v>
          </cell>
          <cell r="AS187">
            <v>0.22861819685883059</v>
          </cell>
          <cell r="AT187">
            <v>0.27929656886262488</v>
          </cell>
          <cell r="AU187">
            <v>0.33453957526149314</v>
          </cell>
          <cell r="AW187">
            <v>0</v>
          </cell>
          <cell r="AY187">
            <v>0</v>
          </cell>
          <cell r="AZ187">
            <v>0</v>
          </cell>
          <cell r="BA187">
            <v>0</v>
          </cell>
          <cell r="BC187">
            <v>3.4186320882983425</v>
          </cell>
          <cell r="BD187">
            <v>4.9246911745762372</v>
          </cell>
          <cell r="BE187">
            <v>5.9799873158514547</v>
          </cell>
          <cell r="BF187">
            <v>7.4886784871129946</v>
          </cell>
          <cell r="BG187">
            <v>9.5090679211302422</v>
          </cell>
          <cell r="BH187">
            <v>12.10631254277383</v>
          </cell>
          <cell r="BI187">
            <v>15.353130454666889</v>
          </cell>
          <cell r="BJ187">
            <v>19.330843415521695</v>
          </cell>
          <cell r="BL187">
            <v>315272.59123891609</v>
          </cell>
        </row>
        <row r="188">
          <cell r="A188">
            <v>10001257</v>
          </cell>
          <cell r="B188">
            <v>0</v>
          </cell>
          <cell r="C188" t="str">
            <v>CP11</v>
          </cell>
          <cell r="D188" t="str">
            <v>RPH</v>
          </cell>
          <cell r="E188">
            <v>36</v>
          </cell>
          <cell r="F188" t="str">
            <v>M</v>
          </cell>
          <cell r="G188">
            <v>35152</v>
          </cell>
          <cell r="H188">
            <v>2</v>
          </cell>
          <cell r="I188">
            <v>20000000</v>
          </cell>
          <cell r="J188">
            <v>1053300</v>
          </cell>
          <cell r="K188">
            <v>762400</v>
          </cell>
          <cell r="L188">
            <v>1524800</v>
          </cell>
          <cell r="M188">
            <v>11</v>
          </cell>
          <cell r="N188">
            <v>11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T188">
            <v>36000</v>
          </cell>
          <cell r="U188">
            <v>53400</v>
          </cell>
          <cell r="W188">
            <v>12280494.095739592</v>
          </cell>
          <cell r="X188">
            <v>0</v>
          </cell>
          <cell r="Y188">
            <v>0</v>
          </cell>
          <cell r="Z188">
            <v>106800</v>
          </cell>
          <cell r="AB188">
            <v>1151308.9784178587</v>
          </cell>
          <cell r="AC188">
            <v>0</v>
          </cell>
          <cell r="AD188">
            <v>0</v>
          </cell>
          <cell r="AE188">
            <v>53400</v>
          </cell>
          <cell r="AH188">
            <v>91</v>
          </cell>
          <cell r="AI188">
            <v>84</v>
          </cell>
          <cell r="AJ188">
            <v>2</v>
          </cell>
          <cell r="AK188">
            <v>5.7565448920892937E-2</v>
          </cell>
          <cell r="AL188">
            <v>0</v>
          </cell>
          <cell r="AM188">
            <v>2.4375757552787425E-2</v>
          </cell>
          <cell r="AN188">
            <v>8.8389539839516584E-2</v>
          </cell>
          <cell r="AO188">
            <v>0.1581698312671192</v>
          </cell>
          <cell r="AP188">
            <v>0.23424436475267024</v>
          </cell>
          <cell r="AQ188">
            <v>0.31719361471085356</v>
          </cell>
          <cell r="AR188">
            <v>0.40765880713787489</v>
          </cell>
          <cell r="AS188">
            <v>0.5063447204840007</v>
          </cell>
          <cell r="AT188">
            <v>0.61402470478697957</v>
          </cell>
          <cell r="AU188">
            <v>0.7315520082470458</v>
          </cell>
          <cell r="AW188">
            <v>0</v>
          </cell>
          <cell r="AY188">
            <v>0</v>
          </cell>
          <cell r="AZ188">
            <v>0</v>
          </cell>
          <cell r="BA188">
            <v>1</v>
          </cell>
          <cell r="BC188">
            <v>6.5949783208115242</v>
          </cell>
          <cell r="BD188">
            <v>10.887696179815219</v>
          </cell>
          <cell r="BE188">
            <v>13.42541316834193</v>
          </cell>
          <cell r="BF188">
            <v>16.917364130761477</v>
          </cell>
          <cell r="BG188">
            <v>21.487498007757083</v>
          </cell>
          <cell r="BH188">
            <v>27.274955880974325</v>
          </cell>
          <cell r="BI188">
            <v>34.435868734668766</v>
          </cell>
          <cell r="BJ188">
            <v>43.145625213629792</v>
          </cell>
          <cell r="BL188">
            <v>545499.11761948641</v>
          </cell>
        </row>
        <row r="189">
          <cell r="A189">
            <v>10001257</v>
          </cell>
          <cell r="B189">
            <v>2</v>
          </cell>
          <cell r="C189" t="str">
            <v>E8</v>
          </cell>
          <cell r="D189" t="str">
            <v>RPH</v>
          </cell>
          <cell r="E189">
            <v>36</v>
          </cell>
          <cell r="F189" t="str">
            <v>M</v>
          </cell>
          <cell r="G189">
            <v>35152</v>
          </cell>
          <cell r="H189">
            <v>2</v>
          </cell>
          <cell r="I189">
            <v>5000000</v>
          </cell>
          <cell r="J189">
            <v>290900</v>
          </cell>
          <cell r="K189">
            <v>290900</v>
          </cell>
          <cell r="L189">
            <v>581800</v>
          </cell>
          <cell r="M189">
            <v>8</v>
          </cell>
          <cell r="N189">
            <v>8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T189">
            <v>9300</v>
          </cell>
          <cell r="U189">
            <v>18600</v>
          </cell>
          <cell r="W189">
            <v>5000000</v>
          </cell>
          <cell r="X189">
            <v>0</v>
          </cell>
          <cell r="Y189">
            <v>0</v>
          </cell>
          <cell r="Z189">
            <v>37200</v>
          </cell>
          <cell r="AB189">
            <v>449127.43828920939</v>
          </cell>
          <cell r="AC189">
            <v>0</v>
          </cell>
          <cell r="AD189">
            <v>0</v>
          </cell>
          <cell r="AE189">
            <v>18600</v>
          </cell>
          <cell r="AH189">
            <v>91</v>
          </cell>
          <cell r="AI189">
            <v>84</v>
          </cell>
          <cell r="AJ189">
            <v>2</v>
          </cell>
          <cell r="AK189">
            <v>8.9825487657841874E-2</v>
          </cell>
          <cell r="AL189">
            <v>0</v>
          </cell>
          <cell r="AM189">
            <v>5.7948821987506061E-2</v>
          </cell>
          <cell r="AN189">
            <v>0.15998766114575314</v>
          </cell>
          <cell r="AO189">
            <v>0.2712815506363444</v>
          </cell>
          <cell r="AP189">
            <v>0.39269104265226557</v>
          </cell>
          <cell r="AQ189">
            <v>0.52516490954087847</v>
          </cell>
          <cell r="AR189">
            <v>0.66975153762832251</v>
          </cell>
          <cell r="AS189">
            <v>0.82760570500270847</v>
          </cell>
          <cell r="AT189">
            <v>1</v>
          </cell>
          <cell r="AU189" t="str">
            <v/>
          </cell>
          <cell r="AW189">
            <v>0</v>
          </cell>
          <cell r="AY189">
            <v>0</v>
          </cell>
          <cell r="AZ189">
            <v>0</v>
          </cell>
          <cell r="BA189">
            <v>1</v>
          </cell>
          <cell r="BC189">
            <v>10.141181803231717</v>
          </cell>
          <cell r="BD189">
            <v>18.182331692537794</v>
          </cell>
          <cell r="BE189">
            <v>23.152119065261047</v>
          </cell>
          <cell r="BF189">
            <v>29.999517015867234</v>
          </cell>
          <cell r="BG189">
            <v>38.174911873822644</v>
          </cell>
          <cell r="BH189">
            <v>48.364208789437882</v>
          </cell>
          <cell r="BI189" t="str">
            <v/>
          </cell>
          <cell r="BJ189" t="str">
            <v/>
          </cell>
          <cell r="BL189">
            <v>241821.04394718941</v>
          </cell>
        </row>
        <row r="190">
          <cell r="A190">
            <v>10001329</v>
          </cell>
          <cell r="B190">
            <v>0</v>
          </cell>
          <cell r="C190" t="str">
            <v>CP15</v>
          </cell>
          <cell r="D190" t="str">
            <v>RPH</v>
          </cell>
          <cell r="E190">
            <v>38</v>
          </cell>
          <cell r="F190" t="str">
            <v>M</v>
          </cell>
          <cell r="G190">
            <v>35181</v>
          </cell>
          <cell r="H190">
            <v>1</v>
          </cell>
          <cell r="I190">
            <v>25420000</v>
          </cell>
          <cell r="J190">
            <v>1375000</v>
          </cell>
          <cell r="K190">
            <v>1179400</v>
          </cell>
          <cell r="L190">
            <v>1179400</v>
          </cell>
          <cell r="M190">
            <v>15</v>
          </cell>
          <cell r="N190">
            <v>15</v>
          </cell>
          <cell r="O190">
            <v>26000000</v>
          </cell>
          <cell r="P190">
            <v>65000</v>
          </cell>
          <cell r="Q190">
            <v>0</v>
          </cell>
          <cell r="R190">
            <v>0</v>
          </cell>
          <cell r="T190">
            <v>60000</v>
          </cell>
          <cell r="U190">
            <v>52000</v>
          </cell>
          <cell r="W190">
            <v>8995409.7810270563</v>
          </cell>
          <cell r="X190">
            <v>65000</v>
          </cell>
          <cell r="Y190">
            <v>0</v>
          </cell>
          <cell r="Z190">
            <v>104000</v>
          </cell>
          <cell r="AB190">
            <v>908984.07624650863</v>
          </cell>
          <cell r="AC190">
            <v>65000</v>
          </cell>
          <cell r="AD190">
            <v>0</v>
          </cell>
          <cell r="AE190">
            <v>52000</v>
          </cell>
          <cell r="AH190">
            <v>90</v>
          </cell>
          <cell r="AI190">
            <v>84</v>
          </cell>
          <cell r="AJ190">
            <v>1</v>
          </cell>
          <cell r="AK190">
            <v>3.5758618263041254E-2</v>
          </cell>
          <cell r="AL190">
            <v>0</v>
          </cell>
          <cell r="AM190">
            <v>1.8830660908396024E-3</v>
          </cell>
          <cell r="AN190">
            <v>4.0200098154413944E-2</v>
          </cell>
          <cell r="AO190">
            <v>8.1933155952198966E-2</v>
          </cell>
          <cell r="AP190">
            <v>0.1273943602584543</v>
          </cell>
          <cell r="AQ190">
            <v>0.17692599794723149</v>
          </cell>
          <cell r="AR190">
            <v>0.23090123971379317</v>
          </cell>
          <cell r="AS190">
            <v>0.28973221935114413</v>
          </cell>
          <cell r="AT190">
            <v>0.35387135251876695</v>
          </cell>
          <cell r="AU190">
            <v>0.42381370561127912</v>
          </cell>
          <cell r="AW190">
            <v>0</v>
          </cell>
          <cell r="AY190">
            <v>1</v>
          </cell>
          <cell r="AZ190">
            <v>0</v>
          </cell>
          <cell r="BA190">
            <v>1</v>
          </cell>
          <cell r="BC190">
            <v>4.1968924934511564</v>
          </cell>
          <cell r="BD190">
            <v>6.3670962554954338</v>
          </cell>
          <cell r="BE190">
            <v>7.7699325329852176</v>
          </cell>
          <cell r="BF190">
            <v>9.7423834326772312</v>
          </cell>
          <cell r="BG190">
            <v>12.357648984248232</v>
          </cell>
          <cell r="BH190">
            <v>15.697859998610078</v>
          </cell>
          <cell r="BI190">
            <v>19.855102970168502</v>
          </cell>
          <cell r="BJ190">
            <v>24.932535280959602</v>
          </cell>
          <cell r="BL190">
            <v>399039.60116466816</v>
          </cell>
        </row>
        <row r="191">
          <cell r="A191">
            <v>10001329</v>
          </cell>
          <cell r="B191">
            <v>1</v>
          </cell>
          <cell r="C191" t="str">
            <v>E12</v>
          </cell>
          <cell r="D191" t="str">
            <v>RPH</v>
          </cell>
          <cell r="E191">
            <v>38</v>
          </cell>
          <cell r="F191" t="str">
            <v>M</v>
          </cell>
          <cell r="G191">
            <v>35181</v>
          </cell>
          <cell r="H191">
            <v>1</v>
          </cell>
          <cell r="I191">
            <v>3000000</v>
          </cell>
          <cell r="J191">
            <v>195600</v>
          </cell>
          <cell r="K191">
            <v>195600</v>
          </cell>
          <cell r="L191">
            <v>195600</v>
          </cell>
          <cell r="M191">
            <v>12</v>
          </cell>
          <cell r="N191">
            <v>12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T191">
            <v>8000</v>
          </cell>
          <cell r="U191">
            <v>8000</v>
          </cell>
          <cell r="W191">
            <v>1592467.7708203548</v>
          </cell>
          <cell r="X191">
            <v>0</v>
          </cell>
          <cell r="Y191">
            <v>0</v>
          </cell>
          <cell r="Z191">
            <v>16000</v>
          </cell>
          <cell r="AB191">
            <v>152018.23133597523</v>
          </cell>
          <cell r="AC191">
            <v>0</v>
          </cell>
          <cell r="AD191">
            <v>0</v>
          </cell>
          <cell r="AE191">
            <v>8000</v>
          </cell>
          <cell r="AH191">
            <v>90</v>
          </cell>
          <cell r="AI191">
            <v>84</v>
          </cell>
          <cell r="AJ191">
            <v>1</v>
          </cell>
          <cell r="AK191">
            <v>5.0672743778658408E-2</v>
          </cell>
          <cell r="AL191">
            <v>0</v>
          </cell>
          <cell r="AM191">
            <v>1.7360993737182862E-2</v>
          </cell>
          <cell r="AN191">
            <v>7.3143899861868922E-2</v>
          </cell>
          <cell r="AO191">
            <v>0.13393167885107926</v>
          </cell>
          <cell r="AP191">
            <v>0.20018707779599559</v>
          </cell>
          <cell r="AQ191">
            <v>0.27241838066025376</v>
          </cell>
          <cell r="AR191">
            <v>0.35118163028112392</v>
          </cell>
          <cell r="AS191">
            <v>0.43709115591840253</v>
          </cell>
          <cell r="AT191">
            <v>0.53082259027345158</v>
          </cell>
          <cell r="AU191">
            <v>0.63311789833837961</v>
          </cell>
          <cell r="AW191">
            <v>0</v>
          </cell>
          <cell r="AY191">
            <v>0</v>
          </cell>
          <cell r="AZ191">
            <v>0</v>
          </cell>
          <cell r="BA191">
            <v>1</v>
          </cell>
          <cell r="BC191">
            <v>5.840408571311416</v>
          </cell>
          <cell r="BD191">
            <v>9.457471879121778</v>
          </cell>
          <cell r="BE191">
            <v>11.631959551164393</v>
          </cell>
          <cell r="BF191">
            <v>14.637551172521484</v>
          </cell>
          <cell r="BG191">
            <v>18.581989831885888</v>
          </cell>
          <cell r="BH191">
            <v>23.586331112393236</v>
          </cell>
          <cell r="BI191">
            <v>29.786523372294727</v>
          </cell>
          <cell r="BJ191">
            <v>37.335178353658485</v>
          </cell>
          <cell r="BL191">
            <v>70758.993337179709</v>
          </cell>
        </row>
        <row r="192">
          <cell r="A192">
            <v>10001403</v>
          </cell>
          <cell r="B192">
            <v>0</v>
          </cell>
          <cell r="C192" t="str">
            <v>CP10</v>
          </cell>
          <cell r="D192" t="str">
            <v>RPH</v>
          </cell>
          <cell r="E192">
            <v>48</v>
          </cell>
          <cell r="F192" t="str">
            <v>F</v>
          </cell>
          <cell r="G192">
            <v>35213</v>
          </cell>
          <cell r="H192">
            <v>1</v>
          </cell>
          <cell r="I192">
            <v>15000000</v>
          </cell>
          <cell r="J192">
            <v>647400</v>
          </cell>
          <cell r="K192">
            <v>647400</v>
          </cell>
          <cell r="L192">
            <v>647400</v>
          </cell>
          <cell r="M192">
            <v>10</v>
          </cell>
          <cell r="N192">
            <v>10</v>
          </cell>
          <cell r="O192">
            <v>15000000</v>
          </cell>
          <cell r="P192">
            <v>19500</v>
          </cell>
          <cell r="Q192">
            <v>0</v>
          </cell>
          <cell r="R192">
            <v>0</v>
          </cell>
          <cell r="T192">
            <v>53700</v>
          </cell>
          <cell r="U192">
            <v>53700</v>
          </cell>
          <cell r="W192">
            <v>10719081.406676751</v>
          </cell>
          <cell r="X192">
            <v>19500</v>
          </cell>
          <cell r="Y192">
            <v>0</v>
          </cell>
          <cell r="Z192">
            <v>107400</v>
          </cell>
          <cell r="AB192">
            <v>998385.00964935543</v>
          </cell>
          <cell r="AC192">
            <v>19500</v>
          </cell>
          <cell r="AD192">
            <v>0</v>
          </cell>
          <cell r="AE192">
            <v>53700</v>
          </cell>
          <cell r="AH192">
            <v>89</v>
          </cell>
          <cell r="AI192">
            <v>84</v>
          </cell>
          <cell r="AJ192">
            <v>1</v>
          </cell>
          <cell r="AK192">
            <v>6.6559000643290359E-2</v>
          </cell>
          <cell r="AL192">
            <v>0</v>
          </cell>
          <cell r="AM192">
            <v>3.4997532909168017E-2</v>
          </cell>
          <cell r="AN192">
            <v>0.10852992828053554</v>
          </cell>
          <cell r="AO192">
            <v>0.18873313513021778</v>
          </cell>
          <cell r="AP192">
            <v>0.27624428223575398</v>
          </cell>
          <cell r="AQ192">
            <v>0.37176179979323143</v>
          </cell>
          <cell r="AR192">
            <v>0.47606484446607122</v>
          </cell>
          <cell r="AS192">
            <v>0.59002503804220052</v>
          </cell>
          <cell r="AT192">
            <v>0.71460542711178332</v>
          </cell>
          <cell r="AU192">
            <v>0.85087219201726005</v>
          </cell>
          <cell r="AW192">
            <v>0</v>
          </cell>
          <cell r="AY192">
            <v>1</v>
          </cell>
          <cell r="AZ192">
            <v>0</v>
          </cell>
          <cell r="BA192">
            <v>1</v>
          </cell>
          <cell r="BC192">
            <v>7.623919297523849</v>
          </cell>
          <cell r="BD192">
            <v>12.746771409491522</v>
          </cell>
          <cell r="BE192">
            <v>15.713657206741106</v>
          </cell>
          <cell r="BF192">
            <v>19.78317271985798</v>
          </cell>
          <cell r="BG192">
            <v>25.101137527372245</v>
          </cell>
          <cell r="BH192">
            <v>31.832515443134795</v>
          </cell>
          <cell r="BI192">
            <v>40.163666844551479</v>
          </cell>
          <cell r="BJ192">
            <v>50.305213695030929</v>
          </cell>
          <cell r="BL192">
            <v>477487.73164702195</v>
          </cell>
        </row>
        <row r="193">
          <cell r="A193">
            <v>10001409</v>
          </cell>
          <cell r="B193">
            <v>0</v>
          </cell>
          <cell r="C193" t="str">
            <v>CP8</v>
          </cell>
          <cell r="D193" t="str">
            <v>RPH</v>
          </cell>
          <cell r="E193">
            <v>38</v>
          </cell>
          <cell r="F193" t="str">
            <v>F</v>
          </cell>
          <cell r="G193">
            <v>35209</v>
          </cell>
          <cell r="H193">
            <v>1</v>
          </cell>
          <cell r="I193">
            <v>10000000</v>
          </cell>
          <cell r="J193">
            <v>1121000</v>
          </cell>
          <cell r="K193">
            <v>1121000</v>
          </cell>
          <cell r="L193">
            <v>1121000</v>
          </cell>
          <cell r="M193">
            <v>8</v>
          </cell>
          <cell r="N193">
            <v>8</v>
          </cell>
          <cell r="O193">
            <v>10000000</v>
          </cell>
          <cell r="P193">
            <v>25000</v>
          </cell>
          <cell r="Q193">
            <v>0</v>
          </cell>
          <cell r="R193">
            <v>0</v>
          </cell>
          <cell r="T193">
            <v>40400</v>
          </cell>
          <cell r="U193">
            <v>40400</v>
          </cell>
          <cell r="W193">
            <v>10000000</v>
          </cell>
          <cell r="X193">
            <v>25000</v>
          </cell>
          <cell r="Y193">
            <v>0</v>
          </cell>
          <cell r="Z193">
            <v>80800</v>
          </cell>
          <cell r="AB193">
            <v>898641.44144880737</v>
          </cell>
          <cell r="AC193">
            <v>25000</v>
          </cell>
          <cell r="AD193">
            <v>0</v>
          </cell>
          <cell r="AE193">
            <v>40400</v>
          </cell>
          <cell r="AH193">
            <v>89</v>
          </cell>
          <cell r="AI193">
            <v>84</v>
          </cell>
          <cell r="AJ193">
            <v>1</v>
          </cell>
          <cell r="AK193">
            <v>8.9864144144880739E-2</v>
          </cell>
          <cell r="AL193">
            <v>0</v>
          </cell>
          <cell r="AM193">
            <v>5.8036026763316484E-2</v>
          </cell>
          <cell r="AN193">
            <v>0.16004735139534404</v>
          </cell>
          <cell r="AO193">
            <v>0.27130190767077811</v>
          </cell>
          <cell r="AP193">
            <v>0.39267242830358462</v>
          </cell>
          <cell r="AQ193">
            <v>0.52511817115520687</v>
          </cell>
          <cell r="AR193">
            <v>0.66969782931374922</v>
          </cell>
          <cell r="AS193">
            <v>0.82756704851566965</v>
          </cell>
          <cell r="AT193">
            <v>1</v>
          </cell>
          <cell r="AU193" t="str">
            <v/>
          </cell>
          <cell r="AW193">
            <v>0</v>
          </cell>
          <cell r="AY193">
            <v>1</v>
          </cell>
          <cell r="AZ193">
            <v>0</v>
          </cell>
          <cell r="BA193">
            <v>1</v>
          </cell>
          <cell r="BC193">
            <v>10.147420017301044</v>
          </cell>
          <cell r="BD193">
            <v>18.189006498283483</v>
          </cell>
          <cell r="BE193">
            <v>23.157690150262837</v>
          </cell>
          <cell r="BF193">
            <v>30.004060134243574</v>
          </cell>
          <cell r="BG193">
            <v>38.17926782171881</v>
          </cell>
          <cell r="BH193">
            <v>48.369503473629216</v>
          </cell>
          <cell r="BI193" t="str">
            <v/>
          </cell>
          <cell r="BJ193" t="str">
            <v/>
          </cell>
          <cell r="BL193">
            <v>483695.0347362922</v>
          </cell>
        </row>
        <row r="194">
          <cell r="A194">
            <v>10001418</v>
          </cell>
          <cell r="B194">
            <v>0</v>
          </cell>
          <cell r="C194" t="str">
            <v>CP18</v>
          </cell>
          <cell r="D194" t="str">
            <v>RPH</v>
          </cell>
          <cell r="E194">
            <v>33</v>
          </cell>
          <cell r="F194" t="str">
            <v>M</v>
          </cell>
          <cell r="G194">
            <v>35209</v>
          </cell>
          <cell r="H194">
            <v>1</v>
          </cell>
          <cell r="I194">
            <v>30000000</v>
          </cell>
          <cell r="J194">
            <v>1549300</v>
          </cell>
          <cell r="K194">
            <v>1059000</v>
          </cell>
          <cell r="L194">
            <v>1059000</v>
          </cell>
          <cell r="M194">
            <v>18</v>
          </cell>
          <cell r="N194">
            <v>18</v>
          </cell>
          <cell r="O194">
            <v>30000000</v>
          </cell>
          <cell r="P194">
            <v>75000</v>
          </cell>
          <cell r="Q194">
            <v>0</v>
          </cell>
          <cell r="R194">
            <v>0</v>
          </cell>
          <cell r="T194">
            <v>52500</v>
          </cell>
          <cell r="U194">
            <v>37000</v>
          </cell>
          <cell r="W194">
            <v>7492035.1791426428</v>
          </cell>
          <cell r="X194">
            <v>75000</v>
          </cell>
          <cell r="Y194">
            <v>0</v>
          </cell>
          <cell r="Z194">
            <v>74000</v>
          </cell>
          <cell r="AB194">
            <v>752502.71604708373</v>
          </cell>
          <cell r="AC194">
            <v>75000</v>
          </cell>
          <cell r="AD194">
            <v>0</v>
          </cell>
          <cell r="AE194">
            <v>37000</v>
          </cell>
          <cell r="AH194">
            <v>89</v>
          </cell>
          <cell r="AI194">
            <v>84</v>
          </cell>
          <cell r="AJ194">
            <v>1</v>
          </cell>
          <cell r="AK194">
            <v>2.5083423868236126E-2</v>
          </cell>
          <cell r="AL194">
            <v>0</v>
          </cell>
          <cell r="AM194">
            <v>1.502336862191811E-3</v>
          </cell>
          <cell r="AN194">
            <v>2.8520613440240178E-2</v>
          </cell>
          <cell r="AO194">
            <v>5.7958422894270278E-2</v>
          </cell>
          <cell r="AP194">
            <v>9.0030231308896091E-2</v>
          </cell>
          <cell r="AQ194">
            <v>0.12497288178798463</v>
          </cell>
          <cell r="AR194">
            <v>0.1630455020474901</v>
          </cell>
          <cell r="AS194">
            <v>0.20452982046142695</v>
          </cell>
          <cell r="AT194">
            <v>0.24973450597142141</v>
          </cell>
          <cell r="AU194">
            <v>0.29899945866792532</v>
          </cell>
          <cell r="AW194">
            <v>0</v>
          </cell>
          <cell r="AY194">
            <v>1</v>
          </cell>
          <cell r="AZ194">
            <v>0</v>
          </cell>
          <cell r="BA194">
            <v>1</v>
          </cell>
          <cell r="BC194">
            <v>3.1316223487158785</v>
          </cell>
          <cell r="BD194">
            <v>4.3800698537105101</v>
          </cell>
          <cell r="BE194">
            <v>5.2962392457052863</v>
          </cell>
          <cell r="BF194">
            <v>6.6181771823171998</v>
          </cell>
          <cell r="BG194">
            <v>8.3978552237101418</v>
          </cell>
          <cell r="BH194">
            <v>10.693311119211417</v>
          </cell>
          <cell r="BI194">
            <v>13.569416600422308</v>
          </cell>
          <cell r="BJ194">
            <v>17.098778966042978</v>
          </cell>
          <cell r="BL194">
            <v>320799.3335763425</v>
          </cell>
        </row>
        <row r="195">
          <cell r="A195">
            <v>10001418</v>
          </cell>
          <cell r="B195">
            <v>2</v>
          </cell>
          <cell r="C195" t="str">
            <v>E12</v>
          </cell>
          <cell r="D195" t="str">
            <v>RPH</v>
          </cell>
          <cell r="E195">
            <v>33</v>
          </cell>
          <cell r="F195" t="str">
            <v>M</v>
          </cell>
          <cell r="G195">
            <v>35209</v>
          </cell>
          <cell r="H195">
            <v>1</v>
          </cell>
          <cell r="I195">
            <v>4000000</v>
          </cell>
          <cell r="J195">
            <v>258800</v>
          </cell>
          <cell r="K195">
            <v>258800</v>
          </cell>
          <cell r="L195">
            <v>258800</v>
          </cell>
          <cell r="M195">
            <v>12</v>
          </cell>
          <cell r="N195">
            <v>12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T195">
            <v>7800</v>
          </cell>
          <cell r="U195">
            <v>7800</v>
          </cell>
          <cell r="W195">
            <v>2124082.0970508186</v>
          </cell>
          <cell r="X195">
            <v>0</v>
          </cell>
          <cell r="Y195">
            <v>0</v>
          </cell>
          <cell r="Z195">
            <v>15600</v>
          </cell>
          <cell r="AB195">
            <v>201964.53737823144</v>
          </cell>
          <cell r="AC195">
            <v>0</v>
          </cell>
          <cell r="AD195">
            <v>0</v>
          </cell>
          <cell r="AE195">
            <v>7800</v>
          </cell>
          <cell r="AH195">
            <v>89</v>
          </cell>
          <cell r="AI195">
            <v>84</v>
          </cell>
          <cell r="AJ195">
            <v>1</v>
          </cell>
          <cell r="AK195">
            <v>5.0491134344557861E-2</v>
          </cell>
          <cell r="AL195">
            <v>0</v>
          </cell>
          <cell r="AM195">
            <v>1.6876802859198625E-2</v>
          </cell>
          <cell r="AN195">
            <v>7.2714173453538256E-2</v>
          </cell>
          <cell r="AO195">
            <v>0.13358453566075834</v>
          </cell>
          <cell r="AP195">
            <v>0.19994201601410666</v>
          </cell>
          <cell r="AQ195">
            <v>0.27228801578057799</v>
          </cell>
          <cell r="AR195">
            <v>0.35117241928404308</v>
          </cell>
          <cell r="AS195">
            <v>0.43719634182620581</v>
          </cell>
          <cell r="AT195">
            <v>0.53102052426270463</v>
          </cell>
          <cell r="AU195">
            <v>0.63337297595788333</v>
          </cell>
          <cell r="AW195">
            <v>0</v>
          </cell>
          <cell r="AY195">
            <v>0</v>
          </cell>
          <cell r="AZ195">
            <v>0</v>
          </cell>
          <cell r="BA195">
            <v>1</v>
          </cell>
          <cell r="BC195">
            <v>5.8118695354006737</v>
          </cell>
          <cell r="BD195">
            <v>9.4234445908738564</v>
          </cell>
          <cell r="BE195">
            <v>11.600129728456757</v>
          </cell>
          <cell r="BF195">
            <v>14.608931057740993</v>
          </cell>
          <cell r="BG195">
            <v>18.557509026483455</v>
          </cell>
          <cell r="BH195">
            <v>23.566413069030776</v>
          </cell>
          <cell r="BI195">
            <v>29.770728259775058</v>
          </cell>
          <cell r="BJ195">
            <v>37.321935928593</v>
          </cell>
          <cell r="BL195">
            <v>94265.652276123103</v>
          </cell>
        </row>
        <row r="196">
          <cell r="A196">
            <v>10001418</v>
          </cell>
          <cell r="B196">
            <v>3</v>
          </cell>
          <cell r="C196" t="str">
            <v>E15</v>
          </cell>
          <cell r="D196" t="str">
            <v>RPH</v>
          </cell>
          <cell r="E196">
            <v>33</v>
          </cell>
          <cell r="F196" t="str">
            <v>M</v>
          </cell>
          <cell r="G196">
            <v>35209</v>
          </cell>
          <cell r="H196">
            <v>1</v>
          </cell>
          <cell r="I196">
            <v>5000000</v>
          </cell>
          <cell r="J196">
            <v>231500</v>
          </cell>
          <cell r="K196">
            <v>231500</v>
          </cell>
          <cell r="L196">
            <v>231500</v>
          </cell>
          <cell r="M196">
            <v>15</v>
          </cell>
          <cell r="N196">
            <v>15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T196">
            <v>7700</v>
          </cell>
          <cell r="U196">
            <v>7700</v>
          </cell>
          <cell r="W196">
            <v>1769129.2601520896</v>
          </cell>
          <cell r="X196">
            <v>0</v>
          </cell>
          <cell r="Y196">
            <v>0</v>
          </cell>
          <cell r="Z196">
            <v>15400</v>
          </cell>
          <cell r="AB196">
            <v>177933.50138615933</v>
          </cell>
          <cell r="AC196">
            <v>0</v>
          </cell>
          <cell r="AD196">
            <v>0</v>
          </cell>
          <cell r="AE196">
            <v>7700</v>
          </cell>
          <cell r="AH196">
            <v>89</v>
          </cell>
          <cell r="AI196">
            <v>84</v>
          </cell>
          <cell r="AJ196">
            <v>1</v>
          </cell>
          <cell r="AK196">
            <v>3.5586700277231868E-2</v>
          </cell>
          <cell r="AL196">
            <v>0</v>
          </cell>
          <cell r="AM196">
            <v>1.3691392146575887E-3</v>
          </cell>
          <cell r="AN196">
            <v>3.9694572694069952E-2</v>
          </cell>
          <cell r="AO196">
            <v>8.1461849398438646E-2</v>
          </cell>
          <cell r="AP196">
            <v>0.12697843289796201</v>
          </cell>
          <cell r="AQ196">
            <v>0.17658388612825035</v>
          </cell>
          <cell r="AR196">
            <v>0.23065013509492638</v>
          </cell>
          <cell r="AS196">
            <v>0.28958252767485859</v>
          </cell>
          <cell r="AT196">
            <v>0.35382585203041794</v>
          </cell>
          <cell r="AU196">
            <v>0.42387008344278576</v>
          </cell>
          <cell r="AW196">
            <v>0</v>
          </cell>
          <cell r="AY196">
            <v>0</v>
          </cell>
          <cell r="AZ196">
            <v>0</v>
          </cell>
          <cell r="BA196">
            <v>1</v>
          </cell>
          <cell r="BC196">
            <v>4.1699716546846552</v>
          </cell>
          <cell r="BD196">
            <v>6.332842051969461</v>
          </cell>
          <cell r="BE196">
            <v>7.7364054103876434</v>
          </cell>
          <cell r="BF196">
            <v>9.7104520778007117</v>
          </cell>
          <cell r="BG196">
            <v>12.32838859527547</v>
          </cell>
          <cell r="BH196">
            <v>15.672289779776829</v>
          </cell>
          <cell r="BI196">
            <v>19.833999249577797</v>
          </cell>
          <cell r="BJ196">
            <v>24.916398482103851</v>
          </cell>
          <cell r="BL196">
            <v>78361.448898884148</v>
          </cell>
        </row>
        <row r="197">
          <cell r="A197">
            <v>10001437</v>
          </cell>
          <cell r="B197">
            <v>0</v>
          </cell>
          <cell r="C197" t="str">
            <v>CP10</v>
          </cell>
          <cell r="D197" t="str">
            <v>RPH</v>
          </cell>
          <cell r="E197">
            <v>39</v>
          </cell>
          <cell r="F197" t="str">
            <v>F</v>
          </cell>
          <cell r="G197">
            <v>35219</v>
          </cell>
          <cell r="H197">
            <v>1</v>
          </cell>
          <cell r="I197">
            <v>12500000</v>
          </cell>
          <cell r="J197">
            <v>1026300</v>
          </cell>
          <cell r="K197">
            <v>1026300</v>
          </cell>
          <cell r="L197">
            <v>1026300</v>
          </cell>
          <cell r="M197">
            <v>10</v>
          </cell>
          <cell r="N197">
            <v>10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T197">
            <v>43100</v>
          </cell>
          <cell r="U197">
            <v>43100</v>
          </cell>
          <cell r="W197">
            <v>8939814.7408511564</v>
          </cell>
          <cell r="X197">
            <v>0</v>
          </cell>
          <cell r="Y197">
            <v>0</v>
          </cell>
          <cell r="Z197">
            <v>86200</v>
          </cell>
          <cell r="AB197">
            <v>826542.84086498863</v>
          </cell>
          <cell r="AC197">
            <v>0</v>
          </cell>
          <cell r="AD197">
            <v>0</v>
          </cell>
          <cell r="AE197">
            <v>43100</v>
          </cell>
          <cell r="AH197">
            <v>88</v>
          </cell>
          <cell r="AI197">
            <v>84</v>
          </cell>
          <cell r="AJ197">
            <v>1</v>
          </cell>
          <cell r="AK197">
            <v>6.6123427269199092E-2</v>
          </cell>
          <cell r="AL197">
            <v>0</v>
          </cell>
          <cell r="AM197">
            <v>3.3431947425327624E-2</v>
          </cell>
          <cell r="AN197">
            <v>0.10736756440496237</v>
          </cell>
          <cell r="AO197">
            <v>0.18796963910920172</v>
          </cell>
          <cell r="AP197">
            <v>0.27586341815726684</v>
          </cell>
          <cell r="AQ197">
            <v>0.37174192429467429</v>
          </cell>
          <cell r="AR197">
            <v>0.47635516409882328</v>
          </cell>
          <cell r="AS197">
            <v>0.59053291941850516</v>
          </cell>
          <cell r="AT197">
            <v>0.71518517926809255</v>
          </cell>
          <cell r="AU197">
            <v>0.85130776539135133</v>
          </cell>
          <cell r="AW197">
            <v>0</v>
          </cell>
          <cell r="AY197">
            <v>0</v>
          </cell>
          <cell r="AZ197">
            <v>0</v>
          </cell>
          <cell r="BA197">
            <v>1</v>
          </cell>
          <cell r="BC197">
            <v>7.541423801787948</v>
          </cell>
          <cell r="BD197">
            <v>12.65962877545695</v>
          </cell>
          <cell r="BE197">
            <v>15.63602946526925</v>
          </cell>
          <cell r="BF197">
            <v>19.71613626854959</v>
          </cell>
          <cell r="BG197">
            <v>25.044106742028113</v>
          </cell>
          <cell r="BH197">
            <v>31.782090198860391</v>
          </cell>
          <cell r="BI197">
            <v>40.112219411998105</v>
          </cell>
          <cell r="BJ197">
            <v>50.238873567209978</v>
          </cell>
          <cell r="BL197">
            <v>397276.1274857549</v>
          </cell>
        </row>
        <row r="198">
          <cell r="A198">
            <v>10001539</v>
          </cell>
          <cell r="B198">
            <v>0</v>
          </cell>
          <cell r="C198" t="str">
            <v>CP15</v>
          </cell>
          <cell r="D198" t="str">
            <v>RPH</v>
          </cell>
          <cell r="E198">
            <v>35</v>
          </cell>
          <cell r="F198" t="str">
            <v>M</v>
          </cell>
          <cell r="G198">
            <v>35258</v>
          </cell>
          <cell r="H198">
            <v>1</v>
          </cell>
          <cell r="I198">
            <v>34700000</v>
          </cell>
          <cell r="J198">
            <v>1931100</v>
          </cell>
          <cell r="K198">
            <v>1606600</v>
          </cell>
          <cell r="L198">
            <v>1606600</v>
          </cell>
          <cell r="M198">
            <v>15</v>
          </cell>
          <cell r="N198">
            <v>15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T198">
            <v>68900</v>
          </cell>
          <cell r="U198">
            <v>57800</v>
          </cell>
          <cell r="W198">
            <v>12278349.751554305</v>
          </cell>
          <cell r="X198">
            <v>0</v>
          </cell>
          <cell r="Y198">
            <v>0</v>
          </cell>
          <cell r="Z198">
            <v>115600</v>
          </cell>
          <cell r="AB198">
            <v>1236989.0815869384</v>
          </cell>
          <cell r="AC198">
            <v>0</v>
          </cell>
          <cell r="AD198">
            <v>0</v>
          </cell>
          <cell r="AE198">
            <v>57800</v>
          </cell>
          <cell r="AH198">
            <v>87</v>
          </cell>
          <cell r="AI198">
            <v>84</v>
          </cell>
          <cell r="AJ198">
            <v>1</v>
          </cell>
          <cell r="AK198">
            <v>3.5648100333917535E-2</v>
          </cell>
          <cell r="AL198">
            <v>0</v>
          </cell>
          <cell r="AM198">
            <v>1.5239421252939978E-3</v>
          </cell>
          <cell r="AN198">
            <v>3.9853251362931386E-2</v>
          </cell>
          <cell r="AO198">
            <v>8.1614411769362849E-2</v>
          </cell>
          <cell r="AP198">
            <v>0.12711822700196806</v>
          </cell>
          <cell r="AQ198">
            <v>0.17670274341201267</v>
          </cell>
          <cell r="AR198">
            <v>0.23073889971167949</v>
          </cell>
          <cell r="AS198">
            <v>0.28963600250177585</v>
          </cell>
          <cell r="AT198">
            <v>0.3538429323214497</v>
          </cell>
          <cell r="AU198">
            <v>0.42385038531986613</v>
          </cell>
          <cell r="AW198">
            <v>0</v>
          </cell>
          <cell r="AY198">
            <v>0</v>
          </cell>
          <cell r="AZ198">
            <v>0</v>
          </cell>
          <cell r="BA198">
            <v>1</v>
          </cell>
          <cell r="BC198">
            <v>4.1790697808452952</v>
          </cell>
          <cell r="BD198">
            <v>6.3447945012951115</v>
          </cell>
          <cell r="BE198">
            <v>7.7483300400639727</v>
          </cell>
          <cell r="BF198">
            <v>9.7220408889380341</v>
          </cell>
          <cell r="BG198">
            <v>12.339179900682105</v>
          </cell>
          <cell r="BH198">
            <v>15.681855634314903</v>
          </cell>
          <cell r="BI198">
            <v>19.842035968953379</v>
          </cell>
          <cell r="BJ198">
            <v>24.922637704208984</v>
          </cell>
          <cell r="BL198">
            <v>544160.39051072719</v>
          </cell>
        </row>
        <row r="199">
          <cell r="A199">
            <v>10001539</v>
          </cell>
          <cell r="B199">
            <v>1</v>
          </cell>
          <cell r="C199" t="str">
            <v>E12</v>
          </cell>
          <cell r="D199" t="str">
            <v>RPH</v>
          </cell>
          <cell r="E199">
            <v>35</v>
          </cell>
          <cell r="F199" t="str">
            <v>M</v>
          </cell>
          <cell r="G199">
            <v>35258</v>
          </cell>
          <cell r="H199">
            <v>1</v>
          </cell>
          <cell r="I199">
            <v>5000000</v>
          </cell>
          <cell r="J199">
            <v>324500</v>
          </cell>
          <cell r="K199">
            <v>324500</v>
          </cell>
          <cell r="L199">
            <v>324500</v>
          </cell>
          <cell r="M199">
            <v>12</v>
          </cell>
          <cell r="N199">
            <v>12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11100</v>
          </cell>
          <cell r="U199">
            <v>11100</v>
          </cell>
          <cell r="W199">
            <v>2654770.5414502677</v>
          </cell>
          <cell r="X199">
            <v>0</v>
          </cell>
          <cell r="Y199">
            <v>0</v>
          </cell>
          <cell r="Z199">
            <v>22200</v>
          </cell>
          <cell r="AB199">
            <v>252775.60620410723</v>
          </cell>
          <cell r="AC199">
            <v>0</v>
          </cell>
          <cell r="AD199">
            <v>0</v>
          </cell>
          <cell r="AE199">
            <v>11100</v>
          </cell>
          <cell r="AH199">
            <v>87</v>
          </cell>
          <cell r="AI199">
            <v>84</v>
          </cell>
          <cell r="AJ199">
            <v>1</v>
          </cell>
          <cell r="AK199">
            <v>5.0555121240821448E-2</v>
          </cell>
          <cell r="AL199">
            <v>0</v>
          </cell>
          <cell r="AM199">
            <v>1.7022402542558324E-2</v>
          </cell>
          <cell r="AN199">
            <v>7.2848516409957098E-2</v>
          </cell>
          <cell r="AO199">
            <v>0.13369640391409909</v>
          </cell>
          <cell r="AP199">
            <v>0.20002522840145642</v>
          </cell>
          <cell r="AQ199">
            <v>0.27233595607264788</v>
          </cell>
          <cell r="AR199">
            <v>0.35117924681949353</v>
          </cell>
          <cell r="AS199">
            <v>0.43716279259527868</v>
          </cell>
          <cell r="AT199">
            <v>0.53095410829005352</v>
          </cell>
          <cell r="AU199">
            <v>0.633285300525124</v>
          </cell>
          <cell r="AW199">
            <v>0</v>
          </cell>
          <cell r="AY199">
            <v>0</v>
          </cell>
          <cell r="AZ199">
            <v>0</v>
          </cell>
          <cell r="BA199">
            <v>1</v>
          </cell>
          <cell r="BC199">
            <v>5.8213866335867301</v>
          </cell>
          <cell r="BD199">
            <v>9.435157304324008</v>
          </cell>
          <cell r="BE199">
            <v>11.611297399448089</v>
          </cell>
          <cell r="BF199">
            <v>14.619175959905014</v>
          </cell>
          <cell r="BG199">
            <v>18.566395112432261</v>
          </cell>
          <cell r="BH199">
            <v>23.573702091871983</v>
          </cell>
          <cell r="BI199">
            <v>29.776526185820188</v>
          </cell>
          <cell r="BJ199">
            <v>37.326697206834844</v>
          </cell>
          <cell r="BL199">
            <v>117868.51045935991</v>
          </cell>
        </row>
        <row r="200">
          <cell r="A200">
            <v>10001606</v>
          </cell>
          <cell r="B200">
            <v>0</v>
          </cell>
          <cell r="C200" t="str">
            <v>CP18</v>
          </cell>
          <cell r="D200" t="str">
            <v>RPH</v>
          </cell>
          <cell r="E200">
            <v>32</v>
          </cell>
          <cell r="F200" t="str">
            <v>M</v>
          </cell>
          <cell r="G200">
            <v>35290</v>
          </cell>
          <cell r="H200">
            <v>4</v>
          </cell>
          <cell r="I200">
            <v>55000000</v>
          </cell>
          <cell r="J200">
            <v>690700</v>
          </cell>
          <cell r="K200">
            <v>514500</v>
          </cell>
          <cell r="L200">
            <v>2058000</v>
          </cell>
          <cell r="M200">
            <v>18</v>
          </cell>
          <cell r="N200">
            <v>18</v>
          </cell>
          <cell r="O200">
            <v>0</v>
          </cell>
          <cell r="P200">
            <v>0</v>
          </cell>
          <cell r="Q200">
            <v>70000000</v>
          </cell>
          <cell r="R200">
            <v>338400</v>
          </cell>
          <cell r="T200">
            <v>0</v>
          </cell>
          <cell r="U200">
            <v>0</v>
          </cell>
          <cell r="W200">
            <v>11867336.231013443</v>
          </cell>
          <cell r="X200">
            <v>0</v>
          </cell>
          <cell r="Y200">
            <v>22560</v>
          </cell>
          <cell r="Z200">
            <v>0</v>
          </cell>
          <cell r="AB200">
            <v>1378301.6297032882</v>
          </cell>
          <cell r="AC200">
            <v>0</v>
          </cell>
          <cell r="AD200">
            <v>270720</v>
          </cell>
          <cell r="AE200">
            <v>0</v>
          </cell>
          <cell r="AH200">
            <v>86</v>
          </cell>
          <cell r="AI200">
            <v>84</v>
          </cell>
          <cell r="AJ200">
            <v>1</v>
          </cell>
          <cell r="AK200">
            <v>2.5060029630968875E-2</v>
          </cell>
          <cell r="AL200">
            <v>0</v>
          </cell>
          <cell r="AM200">
            <v>1.4405870572486712E-3</v>
          </cell>
          <cell r="AN200">
            <v>2.8450003660082823E-2</v>
          </cell>
          <cell r="AO200">
            <v>5.7881790974051134E-2</v>
          </cell>
          <cell r="AP200">
            <v>8.9952416373885291E-2</v>
          </cell>
          <cell r="AQ200">
            <v>0.12489659177744347</v>
          </cell>
          <cell r="AR200">
            <v>0.16297323923535742</v>
          </cell>
          <cell r="AS200">
            <v>0.20446564294842459</v>
          </cell>
          <cell r="AT200">
            <v>0.24968206977388574</v>
          </cell>
          <cell r="AU200">
            <v>0.29896026568271572</v>
          </cell>
          <cell r="AW200">
            <v>2</v>
          </cell>
          <cell r="AY200">
            <v>0</v>
          </cell>
          <cell r="AZ200">
            <v>0.8</v>
          </cell>
          <cell r="BA200">
            <v>0</v>
          </cell>
          <cell r="BC200">
            <v>3.1280368903457227</v>
          </cell>
          <cell r="BD200">
            <v>4.3749067147974676</v>
          </cell>
          <cell r="BE200">
            <v>5.2908293211933541</v>
          </cell>
          <cell r="BF200">
            <v>6.6125757157472087</v>
          </cell>
          <cell r="BG200">
            <v>8.392151871742767</v>
          </cell>
          <cell r="BH200">
            <v>10.687703472296739</v>
          </cell>
          <cell r="BI200">
            <v>13.564146375349029</v>
          </cell>
          <cell r="BJ200">
            <v>17.094025103796046</v>
          </cell>
          <cell r="BL200">
            <v>587823.69097632065</v>
          </cell>
        </row>
        <row r="201">
          <cell r="A201">
            <v>10001606</v>
          </cell>
          <cell r="B201">
            <v>2</v>
          </cell>
          <cell r="C201" t="str">
            <v>E12</v>
          </cell>
          <cell r="D201" t="str">
            <v>RPH</v>
          </cell>
          <cell r="E201">
            <v>32</v>
          </cell>
          <cell r="F201" t="str">
            <v>M</v>
          </cell>
          <cell r="G201">
            <v>35290</v>
          </cell>
          <cell r="H201">
            <v>4</v>
          </cell>
          <cell r="I201">
            <v>6000000</v>
          </cell>
          <cell r="J201">
            <v>102700</v>
          </cell>
          <cell r="K201">
            <v>102700</v>
          </cell>
          <cell r="L201">
            <v>410800</v>
          </cell>
          <cell r="M201">
            <v>12</v>
          </cell>
          <cell r="N201">
            <v>12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U201">
            <v>0</v>
          </cell>
          <cell r="W201">
            <v>2763994.987255061</v>
          </cell>
          <cell r="X201">
            <v>0</v>
          </cell>
          <cell r="Y201">
            <v>0</v>
          </cell>
          <cell r="Z201">
            <v>0</v>
          </cell>
          <cell r="AB201">
            <v>302783.81181929202</v>
          </cell>
          <cell r="AC201">
            <v>0</v>
          </cell>
          <cell r="AD201">
            <v>0</v>
          </cell>
          <cell r="AE201">
            <v>0</v>
          </cell>
          <cell r="AH201">
            <v>86</v>
          </cell>
          <cell r="AI201">
            <v>84</v>
          </cell>
          <cell r="AJ201">
            <v>1</v>
          </cell>
          <cell r="AK201">
            <v>5.0463968636548673E-2</v>
          </cell>
          <cell r="AL201">
            <v>0</v>
          </cell>
          <cell r="AM201">
            <v>1.6824254902031377E-2</v>
          </cell>
          <cell r="AN201">
            <v>7.2662153783483618E-2</v>
          </cell>
          <cell r="AO201">
            <v>0.13353734805333595</v>
          </cell>
          <cell r="AP201">
            <v>0.199906181779546</v>
          </cell>
          <cell r="AQ201">
            <v>0.27226600162928655</v>
          </cell>
          <cell r="AR201">
            <v>0.35116536370144791</v>
          </cell>
          <cell r="AS201">
            <v>0.43720586785899884</v>
          </cell>
          <cell r="AT201">
            <v>0.53104572125971095</v>
          </cell>
          <cell r="AU201">
            <v>0.63340842054946145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C201">
            <v>5.8080251799793494</v>
          </cell>
          <cell r="BD201">
            <v>9.4184992418204274</v>
          </cell>
          <cell r="BE201">
            <v>11.595361717556617</v>
          </cell>
          <cell r="BF201">
            <v>14.604492663227457</v>
          </cell>
          <cell r="BG201">
            <v>18.553537544582177</v>
          </cell>
          <cell r="BH201">
            <v>23.563077316918339</v>
          </cell>
          <cell r="BI201">
            <v>29.768098386568163</v>
          </cell>
          <cell r="BJ201">
            <v>37.319829000986182</v>
          </cell>
          <cell r="BL201">
            <v>141378.46390151003</v>
          </cell>
        </row>
        <row r="202">
          <cell r="A202">
            <v>10001606</v>
          </cell>
          <cell r="B202">
            <v>3</v>
          </cell>
          <cell r="C202" t="str">
            <v>E15</v>
          </cell>
          <cell r="D202" t="str">
            <v>RPH</v>
          </cell>
          <cell r="E202">
            <v>32</v>
          </cell>
          <cell r="F202" t="str">
            <v>M</v>
          </cell>
          <cell r="G202">
            <v>35290</v>
          </cell>
          <cell r="H202">
            <v>4</v>
          </cell>
          <cell r="I202">
            <v>6000000</v>
          </cell>
          <cell r="J202">
            <v>73500</v>
          </cell>
          <cell r="K202">
            <v>73500</v>
          </cell>
          <cell r="L202">
            <v>294000</v>
          </cell>
          <cell r="M202">
            <v>15</v>
          </cell>
          <cell r="N202">
            <v>15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T202">
            <v>0</v>
          </cell>
          <cell r="U202">
            <v>0</v>
          </cell>
          <cell r="W202">
            <v>1833712.7310930577</v>
          </cell>
          <cell r="X202">
            <v>0</v>
          </cell>
          <cell r="Y202">
            <v>0</v>
          </cell>
          <cell r="Z202">
            <v>0</v>
          </cell>
          <cell r="AB202">
            <v>213360.30651064229</v>
          </cell>
          <cell r="AC202">
            <v>0</v>
          </cell>
          <cell r="AD202">
            <v>0</v>
          </cell>
          <cell r="AE202">
            <v>0</v>
          </cell>
          <cell r="AH202">
            <v>86</v>
          </cell>
          <cell r="AI202">
            <v>84</v>
          </cell>
          <cell r="AJ202">
            <v>1</v>
          </cell>
          <cell r="AK202">
            <v>3.5560051085107049E-2</v>
          </cell>
          <cell r="AL202">
            <v>0</v>
          </cell>
          <cell r="AM202">
            <v>1.3128641663826546E-3</v>
          </cell>
          <cell r="AN202">
            <v>3.9632713053153412E-2</v>
          </cell>
          <cell r="AO202">
            <v>8.1398132896679576E-2</v>
          </cell>
          <cell r="AP202">
            <v>0.12691888824234548</v>
          </cell>
          <cell r="AQ202">
            <v>0.17653160411647553</v>
          </cell>
          <cell r="AR202">
            <v>0.23060765205233985</v>
          </cell>
          <cell r="AS202">
            <v>0.28955379897153788</v>
          </cell>
          <cell r="AT202">
            <v>0.3538137571474248</v>
          </cell>
          <cell r="AU202">
            <v>0.4238744132956716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C202">
            <v>4.1662173404601024</v>
          </cell>
          <cell r="BD202">
            <v>6.3276860406954984</v>
          </cell>
          <cell r="BE202">
            <v>7.7311890494718964</v>
          </cell>
          <cell r="BF202">
            <v>9.7052886612334621</v>
          </cell>
          <cell r="BG202">
            <v>12.323416079533525</v>
          </cell>
          <cell r="BH202">
            <v>15.667741245386424</v>
          </cell>
          <cell r="BI202">
            <v>19.830114773004933</v>
          </cell>
          <cell r="BJ202">
            <v>24.913296954919492</v>
          </cell>
          <cell r="BL202">
            <v>94006.447472318541</v>
          </cell>
        </row>
        <row r="203">
          <cell r="A203">
            <v>10001628</v>
          </cell>
          <cell r="B203">
            <v>0</v>
          </cell>
          <cell r="C203" t="str">
            <v>CP18</v>
          </cell>
          <cell r="D203" t="str">
            <v>RPH</v>
          </cell>
          <cell r="E203">
            <v>27</v>
          </cell>
          <cell r="F203" t="str">
            <v>F</v>
          </cell>
          <cell r="G203">
            <v>35292</v>
          </cell>
          <cell r="H203">
            <v>1</v>
          </cell>
          <cell r="I203">
            <v>52970000</v>
          </cell>
          <cell r="J203">
            <v>1859250</v>
          </cell>
          <cell r="K203">
            <v>1859250</v>
          </cell>
          <cell r="L203">
            <v>1859250</v>
          </cell>
          <cell r="M203">
            <v>18</v>
          </cell>
          <cell r="N203">
            <v>18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T203">
            <v>53920</v>
          </cell>
          <cell r="U203">
            <v>53920</v>
          </cell>
          <cell r="W203">
            <v>13208235.261510655</v>
          </cell>
          <cell r="X203">
            <v>0</v>
          </cell>
          <cell r="Y203">
            <v>0</v>
          </cell>
          <cell r="Z203">
            <v>107840</v>
          </cell>
          <cell r="AB203">
            <v>1322392.8638372431</v>
          </cell>
          <cell r="AC203">
            <v>0</v>
          </cell>
          <cell r="AD203">
            <v>0</v>
          </cell>
          <cell r="AE203">
            <v>53920</v>
          </cell>
          <cell r="AH203">
            <v>86</v>
          </cell>
          <cell r="AI203">
            <v>84</v>
          </cell>
          <cell r="AJ203">
            <v>1</v>
          </cell>
          <cell r="AK203">
            <v>2.4964939849674215E-2</v>
          </cell>
          <cell r="AL203">
            <v>0</v>
          </cell>
          <cell r="AM203">
            <v>1.098055477044918E-3</v>
          </cell>
          <cell r="AN203">
            <v>2.807924526449912E-2</v>
          </cell>
          <cell r="AO203">
            <v>5.7488680845258711E-2</v>
          </cell>
          <cell r="AP203">
            <v>8.9544060419010307E-2</v>
          </cell>
          <cell r="AQ203">
            <v>0.12448544529467051</v>
          </cell>
          <cell r="AR203">
            <v>0.16257472092026376</v>
          </cell>
          <cell r="AS203">
            <v>0.20409335889985111</v>
          </cell>
          <cell r="AT203">
            <v>0.24935312934700124</v>
          </cell>
          <cell r="AU203">
            <v>0.29869049904104716</v>
          </cell>
          <cell r="AW203">
            <v>0</v>
          </cell>
          <cell r="AY203">
            <v>0</v>
          </cell>
          <cell r="AZ203">
            <v>0</v>
          </cell>
          <cell r="BA203">
            <v>1</v>
          </cell>
          <cell r="BC203">
            <v>3.1120385248010014</v>
          </cell>
          <cell r="BD203">
            <v>4.3525601650705772</v>
          </cell>
          <cell r="BE203">
            <v>5.2672005322715458</v>
          </cell>
          <cell r="BF203">
            <v>6.5877732313695718</v>
          </cell>
          <cell r="BG203">
            <v>8.3665897770190831</v>
          </cell>
          <cell r="BH203">
            <v>10.661952818363641</v>
          </cell>
          <cell r="BI203">
            <v>13.539158498781468</v>
          </cell>
          <cell r="BJ203">
            <v>17.070941041576081</v>
          </cell>
          <cell r="BL203">
            <v>564763.64078872208</v>
          </cell>
        </row>
        <row r="204">
          <cell r="A204">
            <v>10001646</v>
          </cell>
          <cell r="B204">
            <v>0</v>
          </cell>
          <cell r="C204" t="str">
            <v>CP15</v>
          </cell>
          <cell r="D204" t="str">
            <v>RPH</v>
          </cell>
          <cell r="E204">
            <v>25</v>
          </cell>
          <cell r="F204" t="str">
            <v>F</v>
          </cell>
          <cell r="G204">
            <v>35303</v>
          </cell>
          <cell r="H204">
            <v>2</v>
          </cell>
          <cell r="I204">
            <v>33000000</v>
          </cell>
          <cell r="J204">
            <v>789400</v>
          </cell>
          <cell r="K204">
            <v>789400</v>
          </cell>
          <cell r="L204">
            <v>1578800</v>
          </cell>
          <cell r="M204">
            <v>15</v>
          </cell>
          <cell r="N204">
            <v>15</v>
          </cell>
          <cell r="O204">
            <v>33000000</v>
          </cell>
          <cell r="P204">
            <v>85800</v>
          </cell>
          <cell r="Q204">
            <v>0</v>
          </cell>
          <cell r="R204">
            <v>0</v>
          </cell>
          <cell r="T204">
            <v>21300</v>
          </cell>
          <cell r="U204">
            <v>42600</v>
          </cell>
          <cell r="W204">
            <v>10608762.828983871</v>
          </cell>
          <cell r="X204">
            <v>85800</v>
          </cell>
          <cell r="Y204">
            <v>0</v>
          </cell>
          <cell r="Z204">
            <v>85200</v>
          </cell>
          <cell r="AB204">
            <v>1169316.9481058435</v>
          </cell>
          <cell r="AC204">
            <v>85800</v>
          </cell>
          <cell r="AD204">
            <v>0</v>
          </cell>
          <cell r="AE204">
            <v>42600</v>
          </cell>
          <cell r="AH204">
            <v>86</v>
          </cell>
          <cell r="AI204">
            <v>84</v>
          </cell>
          <cell r="AJ204">
            <v>1</v>
          </cell>
          <cell r="AK204">
            <v>3.543384691229829E-2</v>
          </cell>
          <cell r="AL204">
            <v>0</v>
          </cell>
          <cell r="AM204">
            <v>9.4413421388522822E-4</v>
          </cell>
          <cell r="AN204">
            <v>3.9256046238649145E-2</v>
          </cell>
          <cell r="AO204">
            <v>8.1020526287020056E-2</v>
          </cell>
          <cell r="AP204">
            <v>0.12655110165315603</v>
          </cell>
          <cell r="AQ204">
            <v>0.17618983049416787</v>
          </cell>
          <cell r="AR204">
            <v>0.23030725348428463</v>
          </cell>
          <cell r="AS204">
            <v>0.28931069616440636</v>
          </cell>
          <cell r="AT204">
            <v>0.35364462680431308</v>
          </cell>
          <cell r="AU204">
            <v>0.42379007914536981</v>
          </cell>
          <cell r="AW204">
            <v>0</v>
          </cell>
          <cell r="AY204">
            <v>1</v>
          </cell>
          <cell r="AZ204">
            <v>0</v>
          </cell>
          <cell r="BA204">
            <v>1</v>
          </cell>
          <cell r="BC204">
            <v>4.1466579090748983</v>
          </cell>
          <cell r="BD204">
            <v>6.3019420143492546</v>
          </cell>
          <cell r="BE204">
            <v>7.7049714359367538</v>
          </cell>
          <cell r="BF204">
            <v>9.6790007283885515</v>
          </cell>
          <cell r="BG204">
            <v>12.297657648966757</v>
          </cell>
          <cell r="BH204">
            <v>15.643346073264059</v>
          </cell>
          <cell r="BI204">
            <v>19.80816786860035</v>
          </cell>
          <cell r="BJ204">
            <v>24.894801352495726</v>
          </cell>
          <cell r="BL204">
            <v>516230.42041771393</v>
          </cell>
        </row>
        <row r="205">
          <cell r="A205">
            <v>10001648</v>
          </cell>
          <cell r="B205">
            <v>0</v>
          </cell>
          <cell r="C205" t="str">
            <v>CP18</v>
          </cell>
          <cell r="D205" t="str">
            <v>RPH</v>
          </cell>
          <cell r="E205">
            <v>31</v>
          </cell>
          <cell r="F205" t="str">
            <v>F</v>
          </cell>
          <cell r="G205">
            <v>35305</v>
          </cell>
          <cell r="H205">
            <v>1</v>
          </cell>
          <cell r="I205">
            <v>28500000</v>
          </cell>
          <cell r="J205">
            <v>1318130</v>
          </cell>
          <cell r="K205">
            <v>1003230</v>
          </cell>
          <cell r="L205">
            <v>1003230</v>
          </cell>
          <cell r="M205">
            <v>18</v>
          </cell>
          <cell r="N205">
            <v>18</v>
          </cell>
          <cell r="O205">
            <v>28500000</v>
          </cell>
          <cell r="P205">
            <v>71300</v>
          </cell>
          <cell r="Q205">
            <v>0</v>
          </cell>
          <cell r="R205">
            <v>0</v>
          </cell>
          <cell r="T205">
            <v>42500</v>
          </cell>
          <cell r="U205">
            <v>33100</v>
          </cell>
          <cell r="W205">
            <v>7112629.3799598198</v>
          </cell>
          <cell r="X205">
            <v>71300</v>
          </cell>
          <cell r="Y205">
            <v>0</v>
          </cell>
          <cell r="Z205">
            <v>66200</v>
          </cell>
          <cell r="AB205">
            <v>713040.01419525442</v>
          </cell>
          <cell r="AC205">
            <v>71300</v>
          </cell>
          <cell r="AD205">
            <v>0</v>
          </cell>
          <cell r="AE205">
            <v>33100</v>
          </cell>
          <cell r="AH205">
            <v>86</v>
          </cell>
          <cell r="AI205">
            <v>84</v>
          </cell>
          <cell r="AJ205">
            <v>1</v>
          </cell>
          <cell r="AK205">
            <v>2.5018947866500156E-2</v>
          </cell>
          <cell r="AL205">
            <v>0</v>
          </cell>
          <cell r="AM205">
            <v>1.2577113449709354E-3</v>
          </cell>
          <cell r="AN205">
            <v>2.8263552241770212E-2</v>
          </cell>
          <cell r="AO205">
            <v>5.7693894133359375E-2</v>
          </cell>
          <cell r="AP205">
            <v>8.9769150532051506E-2</v>
          </cell>
          <cell r="AQ205">
            <v>0.12472518573788038</v>
          </cell>
          <cell r="AR205">
            <v>0.16281774899778526</v>
          </cell>
          <cell r="AS205">
            <v>0.20432905823461367</v>
          </cell>
          <cell r="AT205">
            <v>0.24956594315648492</v>
          </cell>
          <cell r="AU205">
            <v>0.29886648568310686</v>
          </cell>
          <cell r="AW205">
            <v>0</v>
          </cell>
          <cell r="AY205">
            <v>1</v>
          </cell>
          <cell r="AZ205">
            <v>0</v>
          </cell>
          <cell r="BA205">
            <v>1</v>
          </cell>
          <cell r="BC205">
            <v>3.1205706091388605</v>
          </cell>
          <cell r="BD205">
            <v>4.3650056245456064</v>
          </cell>
          <cell r="BE205">
            <v>5.2807615416688876</v>
          </cell>
          <cell r="BF205">
            <v>6.6025563368895597</v>
          </cell>
          <cell r="BG205">
            <v>8.3823832363768389</v>
          </cell>
          <cell r="BH205">
            <v>10.678397123114229</v>
          </cell>
          <cell r="BI205">
            <v>13.555479490148436</v>
          </cell>
          <cell r="BJ205">
            <v>17.086205615726623</v>
          </cell>
          <cell r="BL205">
            <v>304334.31800875551</v>
          </cell>
        </row>
        <row r="206">
          <cell r="A206">
            <v>10001648</v>
          </cell>
          <cell r="B206">
            <v>2</v>
          </cell>
          <cell r="C206" t="str">
            <v>E12</v>
          </cell>
          <cell r="D206" t="str">
            <v>RPH</v>
          </cell>
          <cell r="E206">
            <v>31</v>
          </cell>
          <cell r="F206" t="str">
            <v>F</v>
          </cell>
          <cell r="G206">
            <v>35305</v>
          </cell>
          <cell r="H206">
            <v>1</v>
          </cell>
          <cell r="I206">
            <v>2850000</v>
          </cell>
          <cell r="J206">
            <v>183500</v>
          </cell>
          <cell r="K206">
            <v>183500</v>
          </cell>
          <cell r="L206">
            <v>183500</v>
          </cell>
          <cell r="M206">
            <v>12</v>
          </cell>
          <cell r="N206">
            <v>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T206">
            <v>5300</v>
          </cell>
          <cell r="U206">
            <v>5300</v>
          </cell>
          <cell r="W206">
            <v>1513637.0701704884</v>
          </cell>
          <cell r="X206">
            <v>0</v>
          </cell>
          <cell r="Y206">
            <v>0</v>
          </cell>
          <cell r="Z206">
            <v>10600</v>
          </cell>
          <cell r="AB206">
            <v>143677.29263915238</v>
          </cell>
          <cell r="AC206">
            <v>0</v>
          </cell>
          <cell r="AD206">
            <v>0</v>
          </cell>
          <cell r="AE206">
            <v>5300</v>
          </cell>
          <cell r="AH206">
            <v>86</v>
          </cell>
          <cell r="AI206">
            <v>84</v>
          </cell>
          <cell r="AJ206">
            <v>1</v>
          </cell>
          <cell r="AK206">
            <v>5.0413085136544696E-2</v>
          </cell>
          <cell r="AL206">
            <v>0</v>
          </cell>
          <cell r="AM206">
            <v>1.6667610821881673E-2</v>
          </cell>
          <cell r="AN206">
            <v>7.2526479138611433E-2</v>
          </cell>
          <cell r="AO206">
            <v>0.13342500314296313</v>
          </cell>
          <cell r="AP206">
            <v>0.19982428547240144</v>
          </cell>
          <cell r="AQ206">
            <v>0.27222147499870503</v>
          </cell>
          <cell r="AR206">
            <v>0.35115865810367514</v>
          </cell>
          <cell r="AS206">
            <v>0.43723377972662697</v>
          </cell>
          <cell r="AT206">
            <v>0.53110072637561001</v>
          </cell>
          <cell r="AU206">
            <v>0.63347999364649465</v>
          </cell>
          <cell r="AW206">
            <v>0</v>
          </cell>
          <cell r="AY206">
            <v>0</v>
          </cell>
          <cell r="AZ206">
            <v>0</v>
          </cell>
          <cell r="BA206">
            <v>1</v>
          </cell>
          <cell r="BC206">
            <v>5.7995928431354891</v>
          </cell>
          <cell r="BD206">
            <v>9.4086327873807818</v>
          </cell>
          <cell r="BE206">
            <v>11.586160625092795</v>
          </cell>
          <cell r="BF206">
            <v>14.596337754754535</v>
          </cell>
          <cell r="BG206">
            <v>18.546665004805661</v>
          </cell>
          <cell r="BH206">
            <v>23.557559101087204</v>
          </cell>
          <cell r="BI206">
            <v>29.763733873226229</v>
          </cell>
          <cell r="BJ206">
            <v>37.316120998370039</v>
          </cell>
          <cell r="BL206">
            <v>67139.043438098539</v>
          </cell>
        </row>
        <row r="207">
          <cell r="A207">
            <v>10001648</v>
          </cell>
          <cell r="B207">
            <v>3</v>
          </cell>
          <cell r="C207" t="str">
            <v>E15</v>
          </cell>
          <cell r="D207" t="str">
            <v>RPH</v>
          </cell>
          <cell r="E207">
            <v>31</v>
          </cell>
          <cell r="F207" t="str">
            <v>F</v>
          </cell>
          <cell r="G207">
            <v>35305</v>
          </cell>
          <cell r="H207">
            <v>1</v>
          </cell>
          <cell r="I207">
            <v>2850000</v>
          </cell>
          <cell r="J207">
            <v>131400</v>
          </cell>
          <cell r="K207">
            <v>131400</v>
          </cell>
          <cell r="L207">
            <v>131400</v>
          </cell>
          <cell r="M207">
            <v>15</v>
          </cell>
          <cell r="N207">
            <v>15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T207">
            <v>4100</v>
          </cell>
          <cell r="U207">
            <v>4100</v>
          </cell>
          <cell r="W207">
            <v>1008315.4001334236</v>
          </cell>
          <cell r="X207">
            <v>0</v>
          </cell>
          <cell r="Y207">
            <v>0</v>
          </cell>
          <cell r="Z207">
            <v>8200</v>
          </cell>
          <cell r="AB207">
            <v>101209.11644825211</v>
          </cell>
          <cell r="AC207">
            <v>0</v>
          </cell>
          <cell r="AD207">
            <v>0</v>
          </cell>
          <cell r="AE207">
            <v>4100</v>
          </cell>
          <cell r="AH207">
            <v>86</v>
          </cell>
          <cell r="AI207">
            <v>84</v>
          </cell>
          <cell r="AJ207">
            <v>1</v>
          </cell>
          <cell r="AK207">
            <v>3.5511970683597231E-2</v>
          </cell>
          <cell r="AL207">
            <v>0</v>
          </cell>
          <cell r="AM207">
            <v>1.1462022709122777E-3</v>
          </cell>
          <cell r="AN207">
            <v>3.947273217159375E-2</v>
          </cell>
          <cell r="AO207">
            <v>8.1247563549044999E-2</v>
          </cell>
          <cell r="AP207">
            <v>0.12678511788690039</v>
          </cell>
          <cell r="AQ207">
            <v>0.17642292022339814</v>
          </cell>
          <cell r="AR207">
            <v>0.23052785053727198</v>
          </cell>
          <cell r="AS207">
            <v>0.28950474222534095</v>
          </cell>
          <cell r="AT207">
            <v>0.35379487723979774</v>
          </cell>
          <cell r="AU207">
            <v>0.42388454697972877</v>
          </cell>
          <cell r="AW207">
            <v>0</v>
          </cell>
          <cell r="AY207">
            <v>0</v>
          </cell>
          <cell r="AZ207">
            <v>0</v>
          </cell>
          <cell r="BA207">
            <v>1</v>
          </cell>
          <cell r="BC207">
            <v>4.1583006731349332</v>
          </cell>
          <cell r="BD207">
            <v>6.3177896849666713</v>
          </cell>
          <cell r="BE207">
            <v>7.7215372210858764</v>
          </cell>
          <cell r="BF207">
            <v>9.6962179623862603</v>
          </cell>
          <cell r="BG207">
            <v>12.315216092873062</v>
          </cell>
          <cell r="BH207">
            <v>15.660666011665263</v>
          </cell>
          <cell r="BI207">
            <v>19.824317351129373</v>
          </cell>
          <cell r="BJ207">
            <v>24.908872468328525</v>
          </cell>
          <cell r="BL207">
            <v>44632.898133245995</v>
          </cell>
        </row>
        <row r="208">
          <cell r="A208">
            <v>10001669</v>
          </cell>
          <cell r="B208">
            <v>0</v>
          </cell>
          <cell r="C208" t="str">
            <v>CP18</v>
          </cell>
          <cell r="D208" t="str">
            <v>RPH</v>
          </cell>
          <cell r="E208">
            <v>29</v>
          </cell>
          <cell r="F208" t="str">
            <v>M</v>
          </cell>
          <cell r="G208">
            <v>35303</v>
          </cell>
          <cell r="H208">
            <v>1</v>
          </cell>
          <cell r="I208">
            <v>30000000</v>
          </cell>
          <cell r="J208">
            <v>1393300</v>
          </cell>
          <cell r="K208">
            <v>1056000</v>
          </cell>
          <cell r="L208">
            <v>1056000</v>
          </cell>
          <cell r="M208">
            <v>18</v>
          </cell>
          <cell r="N208">
            <v>18</v>
          </cell>
          <cell r="O208">
            <v>30000000</v>
          </cell>
          <cell r="P208">
            <v>75000</v>
          </cell>
          <cell r="Q208">
            <v>0</v>
          </cell>
          <cell r="R208">
            <v>0</v>
          </cell>
          <cell r="T208">
            <v>42500</v>
          </cell>
          <cell r="U208">
            <v>32700</v>
          </cell>
          <cell r="W208">
            <v>7486006.8774019415</v>
          </cell>
          <cell r="X208">
            <v>75000</v>
          </cell>
          <cell r="Y208">
            <v>0</v>
          </cell>
          <cell r="Z208">
            <v>65400</v>
          </cell>
          <cell r="AB208">
            <v>750066.32157128211</v>
          </cell>
          <cell r="AC208">
            <v>75000</v>
          </cell>
          <cell r="AD208">
            <v>0</v>
          </cell>
          <cell r="AE208">
            <v>32700</v>
          </cell>
          <cell r="AH208">
            <v>86</v>
          </cell>
          <cell r="AI208">
            <v>84</v>
          </cell>
          <cell r="AJ208">
            <v>1</v>
          </cell>
          <cell r="AK208">
            <v>2.5002210719042739E-2</v>
          </cell>
          <cell r="AL208">
            <v>0</v>
          </cell>
          <cell r="AM208">
            <v>1.3248328484655458E-3</v>
          </cell>
          <cell r="AN208">
            <v>2.8305239573160001E-2</v>
          </cell>
          <cell r="AO208">
            <v>5.7714839054435363E-2</v>
          </cell>
          <cell r="AP208">
            <v>8.97698630073063E-2</v>
          </cell>
          <cell r="AQ208">
            <v>0.1247086939535057</v>
          </cell>
          <cell r="AR208">
            <v>0.16278975891238576</v>
          </cell>
          <cell r="AS208">
            <v>0.20429562211295449</v>
          </cell>
          <cell r="AT208">
            <v>0.24953356258006471</v>
          </cell>
          <cell r="AU208">
            <v>0.29884164341714015</v>
          </cell>
          <cell r="AW208">
            <v>0</v>
          </cell>
          <cell r="AY208">
            <v>1</v>
          </cell>
          <cell r="AZ208">
            <v>0</v>
          </cell>
          <cell r="BA208">
            <v>1</v>
          </cell>
          <cell r="BC208">
            <v>3.1197620191592681</v>
          </cell>
          <cell r="BD208">
            <v>4.362482741590739</v>
          </cell>
          <cell r="BE208">
            <v>5.2773818557826795</v>
          </cell>
          <cell r="BF208">
            <v>6.5982384085371937</v>
          </cell>
          <cell r="BG208">
            <v>8.3772058240933003</v>
          </cell>
          <cell r="BH208">
            <v>10.672555670672521</v>
          </cell>
          <cell r="BI208">
            <v>13.549299676842926</v>
          </cell>
          <cell r="BJ208">
            <v>17.08012816665914</v>
          </cell>
          <cell r="BL208">
            <v>320176.67012017564</v>
          </cell>
        </row>
        <row r="209">
          <cell r="A209">
            <v>10001669</v>
          </cell>
          <cell r="B209">
            <v>1</v>
          </cell>
          <cell r="C209" t="str">
            <v>E15</v>
          </cell>
          <cell r="D209" t="str">
            <v>RPH</v>
          </cell>
          <cell r="E209">
            <v>29</v>
          </cell>
          <cell r="F209" t="str">
            <v>M</v>
          </cell>
          <cell r="G209">
            <v>35303</v>
          </cell>
          <cell r="H209">
            <v>1</v>
          </cell>
          <cell r="I209">
            <v>7300000</v>
          </cell>
          <cell r="J209">
            <v>337300</v>
          </cell>
          <cell r="K209">
            <v>337300</v>
          </cell>
          <cell r="L209">
            <v>337300</v>
          </cell>
          <cell r="M209">
            <v>15</v>
          </cell>
          <cell r="N209">
            <v>15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T209">
            <v>9800</v>
          </cell>
          <cell r="U209">
            <v>9800</v>
          </cell>
          <cell r="W209">
            <v>2582458.7865903256</v>
          </cell>
          <cell r="X209">
            <v>0</v>
          </cell>
          <cell r="Y209">
            <v>0</v>
          </cell>
          <cell r="Z209">
            <v>19600</v>
          </cell>
          <cell r="AB209">
            <v>259124.44783355776</v>
          </cell>
          <cell r="AC209">
            <v>0</v>
          </cell>
          <cell r="AD209">
            <v>0</v>
          </cell>
          <cell r="AE209">
            <v>9800</v>
          </cell>
          <cell r="AH209">
            <v>86</v>
          </cell>
          <cell r="AI209">
            <v>84</v>
          </cell>
          <cell r="AJ209">
            <v>1</v>
          </cell>
          <cell r="AK209">
            <v>3.5496499703227088E-2</v>
          </cell>
          <cell r="AL209">
            <v>0</v>
          </cell>
          <cell r="AM209">
            <v>1.207372761295511E-3</v>
          </cell>
          <cell r="AN209">
            <v>3.9505543054628001E-2</v>
          </cell>
          <cell r="AO209">
            <v>8.1258529453892447E-2</v>
          </cell>
          <cell r="AP209">
            <v>0.12677536528416289</v>
          </cell>
          <cell r="AQ209">
            <v>0.17639660514283698</v>
          </cell>
          <cell r="AR209">
            <v>0.23049211617235491</v>
          </cell>
          <cell r="AS209">
            <v>0.28946668418216981</v>
          </cell>
          <cell r="AT209">
            <v>0.35376147761511312</v>
          </cell>
          <cell r="AU209">
            <v>0.4238619057784499</v>
          </cell>
          <cell r="AW209">
            <v>0</v>
          </cell>
          <cell r="AY209">
            <v>0</v>
          </cell>
          <cell r="AZ209">
            <v>0</v>
          </cell>
          <cell r="BA209">
            <v>1</v>
          </cell>
          <cell r="BC209">
            <v>4.1577730975562854</v>
          </cell>
          <cell r="BD209">
            <v>6.3155898974637381</v>
          </cell>
          <cell r="BE209">
            <v>7.7185205559149317</v>
          </cell>
          <cell r="BF209">
            <v>9.6923537293325683</v>
          </cell>
          <cell r="BG209">
            <v>12.310655027540745</v>
          </cell>
          <cell r="BH209">
            <v>15.655676773405427</v>
          </cell>
          <cell r="BI209">
            <v>19.819283379793269</v>
          </cell>
          <cell r="BJ209">
            <v>24.904250615940136</v>
          </cell>
          <cell r="BL209">
            <v>114286.44044585961</v>
          </cell>
        </row>
        <row r="210">
          <cell r="A210">
            <v>10001695</v>
          </cell>
          <cell r="B210">
            <v>0</v>
          </cell>
          <cell r="C210" t="str">
            <v>CP12</v>
          </cell>
          <cell r="D210" t="str">
            <v>RPH</v>
          </cell>
          <cell r="E210">
            <v>41</v>
          </cell>
          <cell r="F210" t="str">
            <v>M</v>
          </cell>
          <cell r="G210">
            <v>35327</v>
          </cell>
          <cell r="H210">
            <v>1</v>
          </cell>
          <cell r="I210">
            <v>15221000</v>
          </cell>
          <cell r="J210">
            <v>1281700</v>
          </cell>
          <cell r="K210">
            <v>1000000</v>
          </cell>
          <cell r="L210">
            <v>1000000</v>
          </cell>
          <cell r="M210">
            <v>12</v>
          </cell>
          <cell r="N210">
            <v>12</v>
          </cell>
          <cell r="O210">
            <v>15221000</v>
          </cell>
          <cell r="P210">
            <v>64300</v>
          </cell>
          <cell r="Q210">
            <v>0</v>
          </cell>
          <cell r="R210">
            <v>0</v>
          </cell>
          <cell r="T210">
            <v>38000</v>
          </cell>
          <cell r="U210">
            <v>24700</v>
          </cell>
          <cell r="W210">
            <v>8077385.6551448815</v>
          </cell>
          <cell r="X210">
            <v>64300</v>
          </cell>
          <cell r="Y210">
            <v>0</v>
          </cell>
          <cell r="Z210">
            <v>49400</v>
          </cell>
          <cell r="AB210">
            <v>773478.39075349376</v>
          </cell>
          <cell r="AC210">
            <v>64300</v>
          </cell>
          <cell r="AD210">
            <v>0</v>
          </cell>
          <cell r="AE210">
            <v>24700</v>
          </cell>
          <cell r="AH210">
            <v>85</v>
          </cell>
          <cell r="AI210">
            <v>84</v>
          </cell>
          <cell r="AJ210">
            <v>1</v>
          </cell>
          <cell r="AK210">
            <v>5.081652918687956E-2</v>
          </cell>
          <cell r="AL210">
            <v>0</v>
          </cell>
          <cell r="AM210">
            <v>1.7850356543274271E-2</v>
          </cell>
          <cell r="AN210">
            <v>7.3552641652816775E-2</v>
          </cell>
          <cell r="AO210">
            <v>0.13424789126561876</v>
          </cell>
          <cell r="AP210">
            <v>0.2004028229875085</v>
          </cell>
          <cell r="AQ210">
            <v>0.27253069206544361</v>
          </cell>
          <cell r="AR210">
            <v>0.35119369416553825</v>
          </cell>
          <cell r="AS210">
            <v>0.43701370869699996</v>
          </cell>
          <cell r="AT210">
            <v>0.53067378326948833</v>
          </cell>
          <cell r="AU210">
            <v>0.63292482969608321</v>
          </cell>
          <cell r="AW210">
            <v>0</v>
          </cell>
          <cell r="AY210">
            <v>1</v>
          </cell>
          <cell r="AZ210">
            <v>0</v>
          </cell>
          <cell r="BA210">
            <v>1</v>
          </cell>
          <cell r="BC210">
            <v>5.8653404176702377</v>
          </cell>
          <cell r="BD210">
            <v>9.4855672091652217</v>
          </cell>
          <cell r="BE210">
            <v>11.657612595558446</v>
          </cell>
          <cell r="BF210">
            <v>14.660099225137461</v>
          </cell>
          <cell r="BG210">
            <v>18.601006763994466</v>
          </cell>
          <cell r="BH210">
            <v>23.601819656472152</v>
          </cell>
          <cell r="BI210">
            <v>29.799073429876</v>
          </cell>
          <cell r="BJ210">
            <v>37.346208805489539</v>
          </cell>
          <cell r="BL210">
            <v>359243.29699116258</v>
          </cell>
        </row>
        <row r="211">
          <cell r="A211">
            <v>10001695</v>
          </cell>
          <cell r="B211">
            <v>1</v>
          </cell>
          <cell r="C211" t="str">
            <v>E9</v>
          </cell>
          <cell r="D211" t="str">
            <v>RPH</v>
          </cell>
          <cell r="E211">
            <v>41</v>
          </cell>
          <cell r="F211" t="str">
            <v>M</v>
          </cell>
          <cell r="G211">
            <v>35327</v>
          </cell>
          <cell r="H211">
            <v>1</v>
          </cell>
          <cell r="I211">
            <v>3000000</v>
          </cell>
          <cell r="J211">
            <v>281700</v>
          </cell>
          <cell r="K211">
            <v>281700</v>
          </cell>
          <cell r="L211">
            <v>281700</v>
          </cell>
          <cell r="M211">
            <v>9</v>
          </cell>
          <cell r="N211">
            <v>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T211">
            <v>13300</v>
          </cell>
          <cell r="U211">
            <v>13300</v>
          </cell>
          <cell r="W211">
            <v>2521971.195961602</v>
          </cell>
          <cell r="X211">
            <v>0</v>
          </cell>
          <cell r="Y211">
            <v>0</v>
          </cell>
          <cell r="Z211">
            <v>26600</v>
          </cell>
          <cell r="AB211">
            <v>230322.38202004912</v>
          </cell>
          <cell r="AC211">
            <v>0</v>
          </cell>
          <cell r="AD211">
            <v>0</v>
          </cell>
          <cell r="AE211">
            <v>13300</v>
          </cell>
          <cell r="AH211">
            <v>85</v>
          </cell>
          <cell r="AI211">
            <v>84</v>
          </cell>
          <cell r="AJ211">
            <v>1</v>
          </cell>
          <cell r="AK211">
            <v>7.6774127340016374E-2</v>
          </cell>
          <cell r="AL211">
            <v>0</v>
          </cell>
          <cell r="AM211">
            <v>4.4792994636316252E-2</v>
          </cell>
          <cell r="AN211">
            <v>0.13096454436542965</v>
          </cell>
          <cell r="AO211">
            <v>0.2249386977836812</v>
          </cell>
          <cell r="AP211">
            <v>0.32745776968020901</v>
          </cell>
          <cell r="AQ211">
            <v>0.43933999467853685</v>
          </cell>
          <cell r="AR211">
            <v>0.56148561995648749</v>
          </cell>
          <cell r="AS211">
            <v>0.69489138354140922</v>
          </cell>
          <cell r="AT211">
            <v>0.84065706532053408</v>
          </cell>
          <cell r="AU211">
            <v>1</v>
          </cell>
          <cell r="AW211">
            <v>0</v>
          </cell>
          <cell r="AY211">
            <v>0</v>
          </cell>
          <cell r="AZ211">
            <v>0</v>
          </cell>
          <cell r="BA211">
            <v>1</v>
          </cell>
          <cell r="BC211">
            <v>8.7232967716412109</v>
          </cell>
          <cell r="BD211">
            <v>14.86409223166711</v>
          </cell>
          <cell r="BE211">
            <v>18.38346812443779</v>
          </cell>
          <cell r="BF211">
            <v>23.191917490879078</v>
          </cell>
          <cell r="BG211">
            <v>29.459260265025591</v>
          </cell>
          <cell r="BH211">
            <v>37.376953870019264</v>
          </cell>
          <cell r="BI211">
            <v>47.160778868875433</v>
          </cell>
          <cell r="BJ211" t="str">
            <v/>
          </cell>
          <cell r="BL211">
            <v>112130.86161005779</v>
          </cell>
        </row>
        <row r="212">
          <cell r="A212">
            <v>10001868</v>
          </cell>
          <cell r="B212">
            <v>0</v>
          </cell>
          <cell r="C212" t="str">
            <v>CP14</v>
          </cell>
          <cell r="D212" t="str">
            <v>RPH</v>
          </cell>
          <cell r="E212">
            <v>40</v>
          </cell>
          <cell r="F212" t="str">
            <v>M</v>
          </cell>
          <cell r="G212">
            <v>35394</v>
          </cell>
          <cell r="H212">
            <v>4</v>
          </cell>
          <cell r="I212">
            <v>20000000</v>
          </cell>
          <cell r="J212">
            <v>644700</v>
          </cell>
          <cell r="K212">
            <v>274000</v>
          </cell>
          <cell r="L212">
            <v>1096000</v>
          </cell>
          <cell r="M212">
            <v>14</v>
          </cell>
          <cell r="N212">
            <v>14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T212">
            <v>0</v>
          </cell>
          <cell r="U212">
            <v>0</v>
          </cell>
          <cell r="W212">
            <v>6621056.4849144034</v>
          </cell>
          <cell r="X212">
            <v>0</v>
          </cell>
          <cell r="Y212">
            <v>0</v>
          </cell>
          <cell r="Z212">
            <v>0</v>
          </cell>
          <cell r="AB212">
            <v>800673.4969817847</v>
          </cell>
          <cell r="AC212">
            <v>0</v>
          </cell>
          <cell r="AD212">
            <v>0</v>
          </cell>
          <cell r="AE212">
            <v>0</v>
          </cell>
          <cell r="AH212">
            <v>83</v>
          </cell>
          <cell r="AI212">
            <v>72</v>
          </cell>
          <cell r="AJ212">
            <v>4</v>
          </cell>
          <cell r="AK212">
            <v>4.0033674849089235E-2</v>
          </cell>
          <cell r="AL212">
            <v>0</v>
          </cell>
          <cell r="AM212">
            <v>6.5494818443958547E-3</v>
          </cell>
          <cell r="AN212">
            <v>4.9729787910698764E-2</v>
          </cell>
          <cell r="AO212">
            <v>9.676341982085751E-2</v>
          </cell>
          <cell r="AP212">
            <v>0.14800296960596443</v>
          </cell>
          <cell r="AQ212">
            <v>0.20383864795106837</v>
          </cell>
          <cell r="AR212">
            <v>0.26469903076483736</v>
          </cell>
          <cell r="AS212">
            <v>0.33105282424572019</v>
          </cell>
          <cell r="AT212">
            <v>0.403417826275001</v>
          </cell>
          <cell r="AU212">
            <v>0.48236174546951016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C212">
            <v>4.6735724976113646</v>
          </cell>
          <cell r="BD212">
            <v>7.2523726724412096</v>
          </cell>
          <cell r="BE212">
            <v>8.8704475141628851</v>
          </cell>
          <cell r="BF212">
            <v>11.130900799798138</v>
          </cell>
          <cell r="BG212">
            <v>14.116670740144102</v>
          </cell>
          <cell r="BH212">
            <v>17.920769267075638</v>
          </cell>
          <cell r="BI212">
            <v>22.647688568456143</v>
          </cell>
          <cell r="BJ212">
            <v>28.41465753345393</v>
          </cell>
          <cell r="BL212">
            <v>282333.41480288201</v>
          </cell>
        </row>
        <row r="213">
          <cell r="A213">
            <v>10001868</v>
          </cell>
          <cell r="B213">
            <v>1</v>
          </cell>
          <cell r="C213" t="str">
            <v>E8</v>
          </cell>
          <cell r="D213" t="str">
            <v>RPH</v>
          </cell>
          <cell r="E213">
            <v>40</v>
          </cell>
          <cell r="F213" t="str">
            <v>M</v>
          </cell>
          <cell r="G213">
            <v>35394</v>
          </cell>
          <cell r="H213">
            <v>4</v>
          </cell>
          <cell r="I213">
            <v>7500000</v>
          </cell>
          <cell r="J213">
            <v>224000</v>
          </cell>
          <cell r="K213">
            <v>224000</v>
          </cell>
          <cell r="L213">
            <v>896000</v>
          </cell>
          <cell r="M213">
            <v>8</v>
          </cell>
          <cell r="N213">
            <v>8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T213">
            <v>0</v>
          </cell>
          <cell r="U213">
            <v>0</v>
          </cell>
          <cell r="W213">
            <v>6205770.6105133751</v>
          </cell>
          <cell r="X213">
            <v>0</v>
          </cell>
          <cell r="Y213">
            <v>0</v>
          </cell>
          <cell r="Z213">
            <v>0</v>
          </cell>
          <cell r="AB213">
            <v>674963.3344407531</v>
          </cell>
          <cell r="AC213">
            <v>0</v>
          </cell>
          <cell r="AD213">
            <v>0</v>
          </cell>
          <cell r="AE213">
            <v>0</v>
          </cell>
          <cell r="AH213">
            <v>83</v>
          </cell>
          <cell r="AI213">
            <v>72</v>
          </cell>
          <cell r="AJ213">
            <v>4</v>
          </cell>
          <cell r="AK213">
            <v>8.999511125876708E-2</v>
          </cell>
          <cell r="AL213">
            <v>0</v>
          </cell>
          <cell r="AM213">
            <v>5.8430056428325439E-2</v>
          </cell>
          <cell r="AN213">
            <v>0.16029239852395594</v>
          </cell>
          <cell r="AO213">
            <v>0.27140906786176838</v>
          </cell>
          <cell r="AP213">
            <v>0.39265801343493378</v>
          </cell>
          <cell r="AQ213">
            <v>0.52501176552360507</v>
          </cell>
          <cell r="AR213">
            <v>0.66954328908199279</v>
          </cell>
          <cell r="AS213">
            <v>0.82743608140178337</v>
          </cell>
          <cell r="AT213">
            <v>1</v>
          </cell>
          <cell r="AU213" t="str">
            <v/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C213">
            <v>10.172499797374337</v>
          </cell>
          <cell r="BD213">
            <v>18.214099949012208</v>
          </cell>
          <cell r="BE213">
            <v>23.179366090863354</v>
          </cell>
          <cell r="BF213">
            <v>30.022839264588015</v>
          </cell>
          <cell r="BG213">
            <v>38.197372865945724</v>
          </cell>
          <cell r="BH213">
            <v>48.390789936966421</v>
          </cell>
          <cell r="BI213" t="str">
            <v/>
          </cell>
          <cell r="BJ213" t="str">
            <v/>
          </cell>
          <cell r="BL213">
            <v>286480.29649459291</v>
          </cell>
        </row>
        <row r="214">
          <cell r="A214">
            <v>10001868</v>
          </cell>
          <cell r="B214">
            <v>2</v>
          </cell>
          <cell r="C214" t="str">
            <v>E11</v>
          </cell>
          <cell r="D214" t="str">
            <v>RPH</v>
          </cell>
          <cell r="E214">
            <v>40</v>
          </cell>
          <cell r="F214" t="str">
            <v>M</v>
          </cell>
          <cell r="G214">
            <v>35394</v>
          </cell>
          <cell r="H214">
            <v>4</v>
          </cell>
          <cell r="I214">
            <v>7500000</v>
          </cell>
          <cell r="J214">
            <v>146700</v>
          </cell>
          <cell r="K214">
            <v>146700</v>
          </cell>
          <cell r="L214">
            <v>586800</v>
          </cell>
          <cell r="M214">
            <v>11</v>
          </cell>
          <cell r="N214">
            <v>11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T214">
            <v>0</v>
          </cell>
          <cell r="U214">
            <v>0</v>
          </cell>
          <cell r="W214">
            <v>3796261.1818473646</v>
          </cell>
          <cell r="X214">
            <v>0</v>
          </cell>
          <cell r="Y214">
            <v>0</v>
          </cell>
          <cell r="Z214">
            <v>0</v>
          </cell>
          <cell r="AB214">
            <v>433063.49852866866</v>
          </cell>
          <cell r="AC214">
            <v>0</v>
          </cell>
          <cell r="AD214">
            <v>0</v>
          </cell>
          <cell r="AE214">
            <v>0</v>
          </cell>
          <cell r="AH214">
            <v>83</v>
          </cell>
          <cell r="AI214">
            <v>72</v>
          </cell>
          <cell r="AJ214">
            <v>4</v>
          </cell>
          <cell r="AK214">
            <v>5.7741799803822491E-2</v>
          </cell>
          <cell r="AL214">
            <v>0</v>
          </cell>
          <cell r="AM214">
            <v>2.4911627708282202E-2</v>
          </cell>
          <cell r="AN214">
            <v>8.8821341971791923E-2</v>
          </cell>
          <cell r="AO214">
            <v>0.15847986092185384</v>
          </cell>
          <cell r="AP214">
            <v>0.23442178196558994</v>
          </cell>
          <cell r="AQ214">
            <v>0.31723895012223147</v>
          </cell>
          <cell r="AR214">
            <v>0.4075827081718606</v>
          </cell>
          <cell r="AS214">
            <v>0.50616815757964861</v>
          </cell>
          <cell r="AT214">
            <v>0.61378591501326918</v>
          </cell>
          <cell r="AU214">
            <v>0.73130627807091197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>
            <v>6.6248677311977833</v>
          </cell>
          <cell r="BD214">
            <v>10.921119945662712</v>
          </cell>
          <cell r="BE214">
            <v>13.455616445688239</v>
          </cell>
          <cell r="BF214">
            <v>16.943594880186442</v>
          </cell>
          <cell r="BG214">
            <v>21.509452026268086</v>
          </cell>
          <cell r="BH214">
            <v>27.293002306804354</v>
          </cell>
          <cell r="BI214">
            <v>34.451592275437015</v>
          </cell>
          <cell r="BJ214">
            <v>43.162181501652881</v>
          </cell>
          <cell r="BL214">
            <v>161320.89019701062</v>
          </cell>
        </row>
        <row r="215">
          <cell r="A215">
            <v>10001926</v>
          </cell>
          <cell r="B215">
            <v>0</v>
          </cell>
          <cell r="C215" t="str">
            <v>CP9</v>
          </cell>
          <cell r="D215" t="str">
            <v>RPH</v>
          </cell>
          <cell r="E215">
            <v>35</v>
          </cell>
          <cell r="F215" t="str">
            <v>F</v>
          </cell>
          <cell r="G215">
            <v>35409</v>
          </cell>
          <cell r="H215">
            <v>1</v>
          </cell>
          <cell r="I215">
            <v>15000000</v>
          </cell>
          <cell r="J215">
            <v>1399500</v>
          </cell>
          <cell r="K215">
            <v>1399500</v>
          </cell>
          <cell r="L215">
            <v>1399500</v>
          </cell>
          <cell r="M215">
            <v>9</v>
          </cell>
          <cell r="N215">
            <v>9</v>
          </cell>
          <cell r="O215">
            <v>0</v>
          </cell>
          <cell r="P215">
            <v>0</v>
          </cell>
          <cell r="Q215">
            <v>45000000</v>
          </cell>
          <cell r="R215">
            <v>171000</v>
          </cell>
          <cell r="T215">
            <v>51600</v>
          </cell>
          <cell r="U215">
            <v>51600</v>
          </cell>
          <cell r="W215">
            <v>10429155.815630224</v>
          </cell>
          <cell r="X215">
            <v>0</v>
          </cell>
          <cell r="Y215">
            <v>22800</v>
          </cell>
          <cell r="Z215">
            <v>103200</v>
          </cell>
          <cell r="AB215">
            <v>1147186.3437662187</v>
          </cell>
          <cell r="AC215">
            <v>0</v>
          </cell>
          <cell r="AD215">
            <v>136800</v>
          </cell>
          <cell r="AE215">
            <v>51600</v>
          </cell>
          <cell r="AH215">
            <v>82</v>
          </cell>
          <cell r="AI215">
            <v>72</v>
          </cell>
          <cell r="AJ215">
            <v>1</v>
          </cell>
          <cell r="AK215">
            <v>7.6479089584414586E-2</v>
          </cell>
          <cell r="AL215">
            <v>0</v>
          </cell>
          <cell r="AM215">
            <v>4.3912309210596578E-2</v>
          </cell>
          <cell r="AN215">
            <v>0.13035451400992765</v>
          </cell>
          <cell r="AO215">
            <v>0.22461091436402386</v>
          </cell>
          <cell r="AP215">
            <v>0.32739805891838064</v>
          </cell>
          <cell r="AQ215">
            <v>0.43950862240951344</v>
          </cell>
          <cell r="AR215">
            <v>0.56181453763539413</v>
          </cell>
          <cell r="AS215">
            <v>0.69527705437534826</v>
          </cell>
          <cell r="AT215">
            <v>0.84095210307613577</v>
          </cell>
          <cell r="AU215">
            <v>1</v>
          </cell>
          <cell r="AW215">
            <v>10</v>
          </cell>
          <cell r="AY215">
            <v>0</v>
          </cell>
          <cell r="AZ215">
            <v>0.8</v>
          </cell>
          <cell r="BA215">
            <v>1</v>
          </cell>
          <cell r="BC215">
            <v>8.6700442580999333</v>
          </cell>
          <cell r="BD215">
            <v>14.8079828647657</v>
          </cell>
          <cell r="BE215">
            <v>18.333937799607831</v>
          </cell>
          <cell r="BF215">
            <v>23.149034416496917</v>
          </cell>
          <cell r="BG215">
            <v>29.421294533828522</v>
          </cell>
          <cell r="BH215">
            <v>37.339488273100116</v>
          </cell>
          <cell r="BI215">
            <v>47.115580798007272</v>
          </cell>
          <cell r="BJ215" t="str">
            <v/>
          </cell>
          <cell r="BL215">
            <v>441319.41800742783</v>
          </cell>
        </row>
        <row r="216">
          <cell r="A216">
            <v>10001948</v>
          </cell>
          <cell r="B216">
            <v>0</v>
          </cell>
          <cell r="C216" t="str">
            <v>CP15</v>
          </cell>
          <cell r="D216" t="str">
            <v>RPH</v>
          </cell>
          <cell r="E216">
            <v>46</v>
          </cell>
          <cell r="F216" t="str">
            <v>M</v>
          </cell>
          <cell r="G216">
            <v>35418</v>
          </cell>
          <cell r="H216">
            <v>4</v>
          </cell>
          <cell r="I216">
            <v>25000000</v>
          </cell>
          <cell r="J216">
            <v>417900</v>
          </cell>
          <cell r="K216">
            <v>311300</v>
          </cell>
          <cell r="L216">
            <v>1245200</v>
          </cell>
          <cell r="M216">
            <v>15</v>
          </cell>
          <cell r="N216">
            <v>15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T216">
            <v>31600</v>
          </cell>
          <cell r="U216">
            <v>95600</v>
          </cell>
          <cell r="W216">
            <v>7262114.6800167654</v>
          </cell>
          <cell r="X216">
            <v>0</v>
          </cell>
          <cell r="Y216">
            <v>0</v>
          </cell>
          <cell r="Z216">
            <v>191200</v>
          </cell>
          <cell r="AB216">
            <v>905459.38096577057</v>
          </cell>
          <cell r="AC216">
            <v>0</v>
          </cell>
          <cell r="AD216">
            <v>0</v>
          </cell>
          <cell r="AE216">
            <v>95600</v>
          </cell>
          <cell r="AH216">
            <v>82</v>
          </cell>
          <cell r="AI216">
            <v>72</v>
          </cell>
          <cell r="AJ216">
            <v>4</v>
          </cell>
          <cell r="AK216">
            <v>3.6218375238630821E-2</v>
          </cell>
          <cell r="AL216">
            <v>0</v>
          </cell>
          <cell r="AM216">
            <v>3.6063224700865759E-3</v>
          </cell>
          <cell r="AN216">
            <v>4.1836508477111067E-2</v>
          </cell>
          <cell r="AO216">
            <v>8.3455510338007521E-2</v>
          </cell>
          <cell r="AP216">
            <v>0.12877294629827762</v>
          </cell>
          <cell r="AQ216">
            <v>0.17813057887911413</v>
          </cell>
          <cell r="AR216">
            <v>0.23189666760445465</v>
          </cell>
          <cell r="AS216">
            <v>0.29048458720067061</v>
          </cell>
          <cell r="AT216">
            <v>0.35434699446286499</v>
          </cell>
          <cell r="AU216">
            <v>0.42399177469728944</v>
          </cell>
          <cell r="AW216">
            <v>0</v>
          </cell>
          <cell r="AY216">
            <v>0</v>
          </cell>
          <cell r="AZ216">
            <v>0</v>
          </cell>
          <cell r="BA216">
            <v>1</v>
          </cell>
          <cell r="BC216">
            <v>4.2755583197176596</v>
          </cell>
          <cell r="BD216">
            <v>6.464195024726104</v>
          </cell>
          <cell r="BE216">
            <v>7.8649867835305871</v>
          </cell>
          <cell r="BF216">
            <v>9.8339611319862428</v>
          </cell>
          <cell r="BG216">
            <v>12.443792643052934</v>
          </cell>
          <cell r="BH216">
            <v>15.776259980301141</v>
          </cell>
          <cell r="BI216">
            <v>19.923096091374511</v>
          </cell>
          <cell r="BJ216">
            <v>24.987793978385479</v>
          </cell>
          <cell r="BL216">
            <v>311094.81607632333</v>
          </cell>
        </row>
        <row r="217">
          <cell r="A217">
            <v>10001948</v>
          </cell>
          <cell r="B217">
            <v>1</v>
          </cell>
          <cell r="C217" t="str">
            <v>E9</v>
          </cell>
          <cell r="D217" t="str">
            <v>RPH</v>
          </cell>
          <cell r="E217">
            <v>46</v>
          </cell>
          <cell r="F217" t="str">
            <v>M</v>
          </cell>
          <cell r="G217">
            <v>35418</v>
          </cell>
          <cell r="H217">
            <v>4</v>
          </cell>
          <cell r="I217">
            <v>2500000</v>
          </cell>
          <cell r="J217">
            <v>62700</v>
          </cell>
          <cell r="K217">
            <v>62700</v>
          </cell>
          <cell r="L217">
            <v>250800</v>
          </cell>
          <cell r="M217">
            <v>9</v>
          </cell>
          <cell r="N217">
            <v>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T217">
            <v>4400</v>
          </cell>
          <cell r="U217">
            <v>17600</v>
          </cell>
          <cell r="W217">
            <v>1736228.7938269242</v>
          </cell>
          <cell r="X217">
            <v>0</v>
          </cell>
          <cell r="Y217">
            <v>0</v>
          </cell>
          <cell r="Z217">
            <v>35200</v>
          </cell>
          <cell r="AB217">
            <v>192750.43437602004</v>
          </cell>
          <cell r="AC217">
            <v>0</v>
          </cell>
          <cell r="AD217">
            <v>0</v>
          </cell>
          <cell r="AE217">
            <v>17600</v>
          </cell>
          <cell r="AH217">
            <v>82</v>
          </cell>
          <cell r="AI217">
            <v>72</v>
          </cell>
          <cell r="AJ217">
            <v>4</v>
          </cell>
          <cell r="AK217">
            <v>7.7100173750408021E-2</v>
          </cell>
          <cell r="AL217">
            <v>0</v>
          </cell>
          <cell r="AM217">
            <v>4.5801290028052388E-2</v>
          </cell>
          <cell r="AN217">
            <v>0.13166560695097701</v>
          </cell>
          <cell r="AO217">
            <v>0.22534026641352939</v>
          </cell>
          <cell r="AP217">
            <v>0.32757767480242822</v>
          </cell>
          <cell r="AQ217">
            <v>0.43921437909882688</v>
          </cell>
          <cell r="AR217">
            <v>0.56117285150981999</v>
          </cell>
          <cell r="AS217">
            <v>0.69449151753076965</v>
          </cell>
          <cell r="AT217">
            <v>0.84033101891014239</v>
          </cell>
          <cell r="AU217">
            <v>1</v>
          </cell>
          <cell r="AW217">
            <v>0</v>
          </cell>
          <cell r="AY217">
            <v>0</v>
          </cell>
          <cell r="AZ217">
            <v>0</v>
          </cell>
          <cell r="BA217">
            <v>1</v>
          </cell>
          <cell r="BC217">
            <v>8.7835527765992616</v>
          </cell>
          <cell r="BD217">
            <v>14.927636209374517</v>
          </cell>
          <cell r="BE217">
            <v>18.440193525019239</v>
          </cell>
          <cell r="BF217">
            <v>23.241740982217948</v>
          </cell>
          <cell r="BG217">
            <v>29.50366568500181</v>
          </cell>
          <cell r="BH217">
            <v>37.420265727621903</v>
          </cell>
          <cell r="BI217">
            <v>47.21192115308358</v>
          </cell>
          <cell r="BJ217" t="str">
            <v/>
          </cell>
          <cell r="BL217">
            <v>73759.164212504518</v>
          </cell>
        </row>
        <row r="218">
          <cell r="A218">
            <v>10001948</v>
          </cell>
          <cell r="B218">
            <v>2</v>
          </cell>
          <cell r="C218" t="str">
            <v>E12</v>
          </cell>
          <cell r="D218" t="str">
            <v>RPH</v>
          </cell>
          <cell r="E218">
            <v>46</v>
          </cell>
          <cell r="F218" t="str">
            <v>M</v>
          </cell>
          <cell r="G218">
            <v>35418</v>
          </cell>
          <cell r="H218">
            <v>4</v>
          </cell>
          <cell r="I218">
            <v>2500000</v>
          </cell>
          <cell r="J218">
            <v>43900</v>
          </cell>
          <cell r="K218">
            <v>43900</v>
          </cell>
          <cell r="L218">
            <v>175600</v>
          </cell>
          <cell r="M218">
            <v>12</v>
          </cell>
          <cell r="N218">
            <v>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T218">
            <v>3300</v>
          </cell>
          <cell r="U218">
            <v>13200</v>
          </cell>
          <cell r="W218">
            <v>1092459.0033336435</v>
          </cell>
          <cell r="X218">
            <v>0</v>
          </cell>
          <cell r="Y218">
            <v>0</v>
          </cell>
          <cell r="Z218">
            <v>26400</v>
          </cell>
          <cell r="AB218">
            <v>127882.37837283754</v>
          </cell>
          <cell r="AC218">
            <v>0</v>
          </cell>
          <cell r="AD218">
            <v>0</v>
          </cell>
          <cell r="AE218">
            <v>13200</v>
          </cell>
          <cell r="AH218">
            <v>82</v>
          </cell>
          <cell r="AI218">
            <v>72</v>
          </cell>
          <cell r="AJ218">
            <v>4</v>
          </cell>
          <cell r="AK218">
            <v>5.1152951349135015E-2</v>
          </cell>
          <cell r="AL218">
            <v>0</v>
          </cell>
          <cell r="AM218">
            <v>1.8971263590864096E-2</v>
          </cell>
          <cell r="AN218">
            <v>7.4511511179287226E-2</v>
          </cell>
          <cell r="AO218">
            <v>0.1350316492583401</v>
          </cell>
          <cell r="AP218">
            <v>0.20099760301091241</v>
          </cell>
          <cell r="AQ218">
            <v>0.27292534193207285</v>
          </cell>
          <cell r="AR218">
            <v>0.35137682514830981</v>
          </cell>
          <cell r="AS218">
            <v>0.43698360133345737</v>
          </cell>
          <cell r="AT218">
            <v>0.53044387280571681</v>
          </cell>
          <cell r="AU218">
            <v>0.63254273446537557</v>
          </cell>
          <cell r="AW218">
            <v>0</v>
          </cell>
          <cell r="AY218">
            <v>0</v>
          </cell>
          <cell r="AZ218">
            <v>0</v>
          </cell>
          <cell r="BA218">
            <v>1</v>
          </cell>
          <cell r="BC218">
            <v>5.9234157351681329</v>
          </cell>
          <cell r="BD218">
            <v>9.5524621561293941</v>
          </cell>
          <cell r="BE218">
            <v>11.720277459996744</v>
          </cell>
          <cell r="BF218">
            <v>14.717292225176504</v>
          </cell>
          <cell r="BG218">
            <v>18.651444334163067</v>
          </cell>
          <cell r="BH218">
            <v>23.64459984048645</v>
          </cell>
          <cell r="BI218">
            <v>29.834151873250534</v>
          </cell>
          <cell r="BJ218">
            <v>37.375718516763826</v>
          </cell>
          <cell r="BL218">
            <v>46628.610835407664</v>
          </cell>
        </row>
        <row r="219">
          <cell r="A219">
            <v>10001950</v>
          </cell>
          <cell r="B219">
            <v>0</v>
          </cell>
          <cell r="C219" t="str">
            <v>CP10</v>
          </cell>
          <cell r="D219" t="str">
            <v>RPH</v>
          </cell>
          <cell r="E219">
            <v>46</v>
          </cell>
          <cell r="F219" t="str">
            <v>M</v>
          </cell>
          <cell r="G219">
            <v>35418</v>
          </cell>
          <cell r="H219">
            <v>4</v>
          </cell>
          <cell r="I219">
            <v>20000000</v>
          </cell>
          <cell r="J219">
            <v>511700</v>
          </cell>
          <cell r="K219">
            <v>440500</v>
          </cell>
          <cell r="L219">
            <v>1762000</v>
          </cell>
          <cell r="M219">
            <v>10</v>
          </cell>
          <cell r="N219">
            <v>10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T219">
            <v>36300</v>
          </cell>
          <cell r="U219">
            <v>126800</v>
          </cell>
          <cell r="W219">
            <v>11800479.38162926</v>
          </cell>
          <cell r="X219">
            <v>0</v>
          </cell>
          <cell r="Y219">
            <v>0</v>
          </cell>
          <cell r="Z219">
            <v>253600</v>
          </cell>
          <cell r="AB219">
            <v>1332207.2916037282</v>
          </cell>
          <cell r="AC219">
            <v>0</v>
          </cell>
          <cell r="AD219">
            <v>0</v>
          </cell>
          <cell r="AE219">
            <v>126800</v>
          </cell>
          <cell r="AH219">
            <v>82</v>
          </cell>
          <cell r="AI219">
            <v>72</v>
          </cell>
          <cell r="AJ219">
            <v>4</v>
          </cell>
          <cell r="AK219">
            <v>6.6610364580186404E-2</v>
          </cell>
          <cell r="AL219">
            <v>0</v>
          </cell>
          <cell r="AM219">
            <v>3.4938969605218972E-2</v>
          </cell>
          <cell r="AN219">
            <v>0.10851353357617755</v>
          </cell>
          <cell r="AO219">
            <v>0.18874606857813336</v>
          </cell>
          <cell r="AP219">
            <v>0.27627133805476273</v>
          </cell>
          <cell r="AQ219">
            <v>0.37179409483182874</v>
          </cell>
          <cell r="AR219">
            <v>0.47608812882157781</v>
          </cell>
          <cell r="AS219">
            <v>0.59002396908146304</v>
          </cell>
          <cell r="AT219">
            <v>0.71457091783248483</v>
          </cell>
          <cell r="AU219">
            <v>0.85082082808036397</v>
          </cell>
          <cell r="AW219">
            <v>0</v>
          </cell>
          <cell r="AY219">
            <v>0</v>
          </cell>
          <cell r="AZ219">
            <v>0</v>
          </cell>
          <cell r="BA219">
            <v>1</v>
          </cell>
          <cell r="BC219">
            <v>7.6278354940511095</v>
          </cell>
          <cell r="BD219">
            <v>12.753817867371307</v>
          </cell>
          <cell r="BE219">
            <v>15.721349969173632</v>
          </cell>
          <cell r="BF219">
            <v>19.79125482761664</v>
          </cell>
          <cell r="BG219">
            <v>25.109006538635654</v>
          </cell>
          <cell r="BH219">
            <v>31.839285801622168</v>
          </cell>
          <cell r="BI219">
            <v>40.168482291692158</v>
          </cell>
          <cell r="BJ219">
            <v>50.308362969738269</v>
          </cell>
          <cell r="BL219">
            <v>502180.13077271305</v>
          </cell>
        </row>
        <row r="220">
          <cell r="A220">
            <v>10001950</v>
          </cell>
          <cell r="B220">
            <v>1</v>
          </cell>
          <cell r="C220" t="str">
            <v>E7</v>
          </cell>
          <cell r="D220" t="str">
            <v>RPH</v>
          </cell>
          <cell r="E220">
            <v>46</v>
          </cell>
          <cell r="F220" t="str">
            <v>M</v>
          </cell>
          <cell r="G220">
            <v>35418</v>
          </cell>
          <cell r="H220">
            <v>4</v>
          </cell>
          <cell r="I220">
            <v>2000000</v>
          </cell>
          <cell r="J220">
            <v>71200</v>
          </cell>
          <cell r="K220">
            <v>71200</v>
          </cell>
          <cell r="L220">
            <v>284800</v>
          </cell>
          <cell r="M220">
            <v>7</v>
          </cell>
          <cell r="N220">
            <v>7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T220">
            <v>4600</v>
          </cell>
          <cell r="U220">
            <v>18400</v>
          </cell>
          <cell r="W220">
            <v>2000000</v>
          </cell>
          <cell r="X220">
            <v>0</v>
          </cell>
          <cell r="Y220">
            <v>0</v>
          </cell>
          <cell r="Z220">
            <v>36800</v>
          </cell>
          <cell r="AB220">
            <v>215162.61982047762</v>
          </cell>
          <cell r="AC220">
            <v>0</v>
          </cell>
          <cell r="AD220">
            <v>0</v>
          </cell>
          <cell r="AE220">
            <v>18400</v>
          </cell>
          <cell r="AH220">
            <v>82</v>
          </cell>
          <cell r="AI220">
            <v>72</v>
          </cell>
          <cell r="AJ220">
            <v>4</v>
          </cell>
          <cell r="AK220">
            <v>0.1075813099102388</v>
          </cell>
          <cell r="AL220">
            <v>0</v>
          </cell>
          <cell r="AM220">
            <v>7.7433340110093729E-2</v>
          </cell>
          <cell r="AN220">
            <v>0.19917327617316999</v>
          </cell>
          <cell r="AO220">
            <v>0.33211593243750809</v>
          </cell>
          <cell r="AP220">
            <v>0.47736546981284078</v>
          </cell>
          <cell r="AQ220">
            <v>0.63615330306675799</v>
          </cell>
          <cell r="AR220">
            <v>0.80984988275031145</v>
          </cell>
          <cell r="AS220">
            <v>1</v>
          </cell>
          <cell r="AT220" t="str">
            <v/>
          </cell>
          <cell r="AU220" t="str">
            <v/>
          </cell>
          <cell r="AW220">
            <v>0</v>
          </cell>
          <cell r="AY220">
            <v>0</v>
          </cell>
          <cell r="AZ220">
            <v>0</v>
          </cell>
          <cell r="BA220">
            <v>1</v>
          </cell>
          <cell r="BC220">
            <v>12.136514430148555</v>
          </cell>
          <cell r="BD220">
            <v>22.762636245718575</v>
          </cell>
          <cell r="BE220">
            <v>29.699830692397658</v>
          </cell>
          <cell r="BF220">
            <v>39.322491698594312</v>
          </cell>
          <cell r="BG220">
            <v>50.057747356533532</v>
          </cell>
          <cell r="BH220" t="str">
            <v/>
          </cell>
          <cell r="BI220" t="str">
            <v/>
          </cell>
          <cell r="BJ220" t="str">
            <v/>
          </cell>
          <cell r="BL220">
            <v>100115.49471306706</v>
          </cell>
        </row>
        <row r="221">
          <cell r="A221">
            <v>10002038</v>
          </cell>
          <cell r="B221">
            <v>0</v>
          </cell>
          <cell r="C221" t="str">
            <v>CP17</v>
          </cell>
          <cell r="D221" t="str">
            <v>RPH</v>
          </cell>
          <cell r="E221">
            <v>29</v>
          </cell>
          <cell r="F221" t="str">
            <v>F</v>
          </cell>
          <cell r="G221">
            <v>35486</v>
          </cell>
          <cell r="H221">
            <v>1</v>
          </cell>
          <cell r="I221">
            <v>26110000</v>
          </cell>
          <cell r="J221">
            <v>1000000</v>
          </cell>
          <cell r="K221">
            <v>1000000</v>
          </cell>
          <cell r="L221">
            <v>1000000</v>
          </cell>
          <cell r="M221">
            <v>17</v>
          </cell>
          <cell r="N221">
            <v>17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T221">
            <v>30000</v>
          </cell>
          <cell r="U221">
            <v>30000</v>
          </cell>
          <cell r="W221">
            <v>5967272.9574152185</v>
          </cell>
          <cell r="X221">
            <v>0</v>
          </cell>
          <cell r="Y221">
            <v>0</v>
          </cell>
          <cell r="Z221">
            <v>60000</v>
          </cell>
          <cell r="AB221">
            <v>730755.87376177416</v>
          </cell>
          <cell r="AC221">
            <v>0</v>
          </cell>
          <cell r="AD221">
            <v>0</v>
          </cell>
          <cell r="AE221">
            <v>30000</v>
          </cell>
          <cell r="AH221">
            <v>80</v>
          </cell>
          <cell r="AI221">
            <v>72</v>
          </cell>
          <cell r="AJ221">
            <v>1</v>
          </cell>
          <cell r="AK221">
            <v>2.7987586126456306E-2</v>
          </cell>
          <cell r="AL221">
            <v>0</v>
          </cell>
          <cell r="AM221">
            <v>1.1373882556350856E-3</v>
          </cell>
          <cell r="AN221">
            <v>3.136309995637207E-2</v>
          </cell>
          <cell r="AO221">
            <v>6.4308594287358134E-2</v>
          </cell>
          <cell r="AP221">
            <v>0.10022085500388414</v>
          </cell>
          <cell r="AQ221">
            <v>0.13936436312099984</v>
          </cell>
          <cell r="AR221">
            <v>0.18203314196963682</v>
          </cell>
          <cell r="AS221">
            <v>0.22854358320242124</v>
          </cell>
          <cell r="AT221">
            <v>0.27923974801855173</v>
          </cell>
          <cell r="AU221">
            <v>0.33450055186758593</v>
          </cell>
          <cell r="AW221">
            <v>0</v>
          </cell>
          <cell r="AY221">
            <v>0</v>
          </cell>
          <cell r="AZ221">
            <v>0</v>
          </cell>
          <cell r="BA221">
            <v>1</v>
          </cell>
          <cell r="BC221">
            <v>3.4145283689316348</v>
          </cell>
          <cell r="BD221">
            <v>4.9201182730929292</v>
          </cell>
          <cell r="BE221">
            <v>5.9757237979439202</v>
          </cell>
          <cell r="BF221">
            <v>7.4847503493083121</v>
          </cell>
          <cell r="BG221">
            <v>9.505626818988496</v>
          </cell>
          <cell r="BH221">
            <v>12.103509722417316</v>
          </cell>
          <cell r="BI221">
            <v>15.351079835815328</v>
          </cell>
          <cell r="BJ221">
            <v>19.329606676888851</v>
          </cell>
          <cell r="BL221">
            <v>248191.91624378963</v>
          </cell>
        </row>
        <row r="222">
          <cell r="A222">
            <v>10002041</v>
          </cell>
          <cell r="B222">
            <v>0</v>
          </cell>
          <cell r="C222" t="str">
            <v>CP18</v>
          </cell>
          <cell r="D222" t="str">
            <v>RPH</v>
          </cell>
          <cell r="E222">
            <v>42</v>
          </cell>
          <cell r="F222" t="str">
            <v>M</v>
          </cell>
          <cell r="G222">
            <v>35496</v>
          </cell>
          <cell r="H222">
            <v>4</v>
          </cell>
          <cell r="I222">
            <v>30000000</v>
          </cell>
          <cell r="J222">
            <v>437400</v>
          </cell>
          <cell r="K222">
            <v>284600</v>
          </cell>
          <cell r="L222">
            <v>1138400</v>
          </cell>
          <cell r="M222">
            <v>18</v>
          </cell>
          <cell r="N222">
            <v>18</v>
          </cell>
          <cell r="O222">
            <v>30000000</v>
          </cell>
          <cell r="P222">
            <v>79600</v>
          </cell>
          <cell r="Q222">
            <v>100000000</v>
          </cell>
          <cell r="R222">
            <v>890400</v>
          </cell>
          <cell r="T222">
            <v>49000</v>
          </cell>
          <cell r="U222">
            <v>161600</v>
          </cell>
          <cell r="W222">
            <v>5856974.679995398</v>
          </cell>
          <cell r="X222">
            <v>79600</v>
          </cell>
          <cell r="Y222">
            <v>118720</v>
          </cell>
          <cell r="Z222">
            <v>323200</v>
          </cell>
          <cell r="AB222">
            <v>761686.37653209944</v>
          </cell>
          <cell r="AC222">
            <v>79600</v>
          </cell>
          <cell r="AD222">
            <v>712320</v>
          </cell>
          <cell r="AE222">
            <v>161600</v>
          </cell>
          <cell r="AH222">
            <v>79</v>
          </cell>
          <cell r="AI222">
            <v>72</v>
          </cell>
          <cell r="AJ222">
            <v>3</v>
          </cell>
          <cell r="AK222">
            <v>2.5389545884403314E-2</v>
          </cell>
          <cell r="AL222">
            <v>0</v>
          </cell>
          <cell r="AM222">
            <v>2.863341511212758E-3</v>
          </cell>
          <cell r="AN222">
            <v>2.9901113605481117E-2</v>
          </cell>
          <cell r="AO222">
            <v>5.9326343725516067E-2</v>
          </cell>
          <cell r="AP222">
            <v>9.1357002517120117E-2</v>
          </cell>
          <cell r="AQ222">
            <v>0.12623000068914222</v>
          </cell>
          <cell r="AR222">
            <v>0.16420726491029522</v>
          </cell>
          <cell r="AS222">
            <v>0.20557423080747483</v>
          </cell>
          <cell r="AT222">
            <v>0.2506408828850385</v>
          </cell>
          <cell r="AU222">
            <v>0.29974841178456946</v>
          </cell>
          <cell r="AW222">
            <v>1</v>
          </cell>
          <cell r="AY222">
            <v>1</v>
          </cell>
          <cell r="AZ222">
            <v>0.8</v>
          </cell>
          <cell r="BA222">
            <v>1</v>
          </cell>
          <cell r="BC222">
            <v>3.1875688434339788</v>
          </cell>
          <cell r="BD222">
            <v>4.4536616177330863</v>
          </cell>
          <cell r="BE222">
            <v>5.370740126869995</v>
          </cell>
          <cell r="BF222">
            <v>6.6927485972928658</v>
          </cell>
          <cell r="BG222">
            <v>8.4713629261642023</v>
          </cell>
          <cell r="BH222">
            <v>10.76443702584978</v>
          </cell>
          <cell r="BI222">
            <v>13.63663127415464</v>
          </cell>
          <cell r="BJ222">
            <v>17.160381556875873</v>
          </cell>
          <cell r="BL222">
            <v>254140.88778492605</v>
          </cell>
        </row>
        <row r="223">
          <cell r="A223">
            <v>10002041</v>
          </cell>
          <cell r="B223">
            <v>2</v>
          </cell>
          <cell r="C223" t="str">
            <v>E12</v>
          </cell>
          <cell r="D223" t="str">
            <v>RPH</v>
          </cell>
          <cell r="E223">
            <v>42</v>
          </cell>
          <cell r="F223" t="str">
            <v>M</v>
          </cell>
          <cell r="G223">
            <v>35496</v>
          </cell>
          <cell r="H223">
            <v>4</v>
          </cell>
          <cell r="I223">
            <v>4500000</v>
          </cell>
          <cell r="J223">
            <v>78500</v>
          </cell>
          <cell r="K223">
            <v>78500</v>
          </cell>
          <cell r="L223">
            <v>314000</v>
          </cell>
          <cell r="M223">
            <v>12</v>
          </cell>
          <cell r="N223">
            <v>12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T223">
            <v>4300</v>
          </cell>
          <cell r="U223">
            <v>17200</v>
          </cell>
          <cell r="W223">
            <v>1869963.6947470061</v>
          </cell>
          <cell r="X223">
            <v>0</v>
          </cell>
          <cell r="Y223">
            <v>0</v>
          </cell>
          <cell r="Z223">
            <v>34400</v>
          </cell>
          <cell r="AB223">
            <v>228925.14859468312</v>
          </cell>
          <cell r="AC223">
            <v>0</v>
          </cell>
          <cell r="AD223">
            <v>0</v>
          </cell>
          <cell r="AE223">
            <v>17200</v>
          </cell>
          <cell r="AH223">
            <v>79</v>
          </cell>
          <cell r="AI223">
            <v>72</v>
          </cell>
          <cell r="AJ223">
            <v>3</v>
          </cell>
          <cell r="AK223">
            <v>5.0872255243262915E-2</v>
          </cell>
          <cell r="AL223">
            <v>0</v>
          </cell>
          <cell r="AM223">
            <v>1.804149731488508E-2</v>
          </cell>
          <cell r="AN223">
            <v>7.3710728974358375E-2</v>
          </cell>
          <cell r="AO223">
            <v>0.13437058284776571</v>
          </cell>
          <cell r="AP223">
            <v>0.20048917983699788</v>
          </cell>
          <cell r="AQ223">
            <v>0.27257875211471377</v>
          </cell>
          <cell r="AR223">
            <v>0.35120641115624662</v>
          </cell>
          <cell r="AS223">
            <v>0.436994513243327</v>
          </cell>
          <cell r="AT223">
            <v>0.53062619601314687</v>
          </cell>
          <cell r="AU223">
            <v>0.63285803374527616</v>
          </cell>
          <cell r="AW223">
            <v>0</v>
          </cell>
          <cell r="AY223">
            <v>0</v>
          </cell>
          <cell r="AZ223">
            <v>0</v>
          </cell>
          <cell r="BA223">
            <v>1</v>
          </cell>
          <cell r="BC223">
            <v>5.875056434367858</v>
          </cell>
          <cell r="BD223">
            <v>9.4964840462644275</v>
          </cell>
          <cell r="BE223">
            <v>11.667642664257258</v>
          </cell>
          <cell r="BF223">
            <v>14.668988763770585</v>
          </cell>
          <cell r="BG223">
            <v>18.608672811197348</v>
          </cell>
          <cell r="BH223">
            <v>23.608271738779809</v>
          </cell>
          <cell r="BI223">
            <v>29.804409135791033</v>
          </cell>
          <cell r="BJ223">
            <v>37.350906744373162</v>
          </cell>
          <cell r="BL223">
            <v>83739.02765038806</v>
          </cell>
        </row>
        <row r="224">
          <cell r="A224">
            <v>10002041</v>
          </cell>
          <cell r="B224">
            <v>3</v>
          </cell>
          <cell r="C224" t="str">
            <v>E15</v>
          </cell>
          <cell r="D224" t="str">
            <v>RPH</v>
          </cell>
          <cell r="E224">
            <v>42</v>
          </cell>
          <cell r="F224" t="str">
            <v>M</v>
          </cell>
          <cell r="G224">
            <v>35496</v>
          </cell>
          <cell r="H224">
            <v>4</v>
          </cell>
          <cell r="I224">
            <v>6000000</v>
          </cell>
          <cell r="J224">
            <v>74300</v>
          </cell>
          <cell r="K224">
            <v>74300</v>
          </cell>
          <cell r="L224">
            <v>297200</v>
          </cell>
          <cell r="M224">
            <v>15</v>
          </cell>
          <cell r="N224">
            <v>15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T224">
            <v>4300</v>
          </cell>
          <cell r="U224">
            <v>17200</v>
          </cell>
          <cell r="W224">
            <v>1651808.4378782474</v>
          </cell>
          <cell r="X224">
            <v>0</v>
          </cell>
          <cell r="Y224">
            <v>0</v>
          </cell>
          <cell r="Z224">
            <v>34400</v>
          </cell>
          <cell r="AB224">
            <v>215687.03385861448</v>
          </cell>
          <cell r="AC224">
            <v>0</v>
          </cell>
          <cell r="AD224">
            <v>0</v>
          </cell>
          <cell r="AE224">
            <v>17200</v>
          </cell>
          <cell r="AH224">
            <v>79</v>
          </cell>
          <cell r="AI224">
            <v>72</v>
          </cell>
          <cell r="AJ224">
            <v>3</v>
          </cell>
          <cell r="AK224">
            <v>3.5947838976435748E-2</v>
          </cell>
          <cell r="AL224">
            <v>0</v>
          </cell>
          <cell r="AM224">
            <v>2.6094767735639346E-3</v>
          </cell>
          <cell r="AN224">
            <v>4.087771139748847E-2</v>
          </cell>
          <cell r="AO224">
            <v>8.2546893081641093E-2</v>
          </cell>
          <cell r="AP224">
            <v>0.12793134281259017</v>
          </cell>
          <cell r="AQ224">
            <v>0.17737371825620413</v>
          </cell>
          <cell r="AR224">
            <v>0.231253161747315</v>
          </cell>
          <cell r="AS224">
            <v>0.28998415450161663</v>
          </cell>
          <cell r="AT224">
            <v>0.35401899437303908</v>
          </cell>
          <cell r="AU224">
            <v>0.42385697589403126</v>
          </cell>
          <cell r="AW224">
            <v>0</v>
          </cell>
          <cell r="AY224">
            <v>0</v>
          </cell>
          <cell r="AZ224">
            <v>0</v>
          </cell>
          <cell r="BA224">
            <v>1</v>
          </cell>
          <cell r="BC224">
            <v>4.2294840811449363</v>
          </cell>
          <cell r="BD224">
            <v>6.4066198963534502</v>
          </cell>
          <cell r="BE224">
            <v>7.8080059892267002</v>
          </cell>
          <cell r="BF224">
            <v>9.7782465530182563</v>
          </cell>
          <cell r="BG224">
            <v>12.390620331293821</v>
          </cell>
          <cell r="BH224">
            <v>15.727317541459739</v>
          </cell>
          <cell r="BI224">
            <v>19.880425354448604</v>
          </cell>
          <cell r="BJ224">
            <v>24.95333668916372</v>
          </cell>
          <cell r="BL224">
            <v>74343.721987762925</v>
          </cell>
        </row>
        <row r="225">
          <cell r="A225">
            <v>10002056</v>
          </cell>
          <cell r="B225">
            <v>0</v>
          </cell>
          <cell r="C225" t="str">
            <v>CP13</v>
          </cell>
          <cell r="D225" t="str">
            <v>RPH</v>
          </cell>
          <cell r="E225">
            <v>33</v>
          </cell>
          <cell r="F225" t="str">
            <v>M</v>
          </cell>
          <cell r="G225">
            <v>35507</v>
          </cell>
          <cell r="H225">
            <v>1</v>
          </cell>
          <cell r="I225">
            <v>30000000</v>
          </cell>
          <cell r="J225">
            <v>2436400</v>
          </cell>
          <cell r="K225">
            <v>1713000</v>
          </cell>
          <cell r="L225">
            <v>1713000</v>
          </cell>
          <cell r="M225">
            <v>13</v>
          </cell>
          <cell r="N225">
            <v>13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T225">
            <v>72200</v>
          </cell>
          <cell r="U225">
            <v>53100</v>
          </cell>
          <cell r="W225">
            <v>11386099.211957611</v>
          </cell>
          <cell r="X225">
            <v>0</v>
          </cell>
          <cell r="Y225">
            <v>0</v>
          </cell>
          <cell r="Z225">
            <v>106200</v>
          </cell>
          <cell r="AB225">
            <v>1340271.7969754275</v>
          </cell>
          <cell r="AC225">
            <v>0</v>
          </cell>
          <cell r="AD225">
            <v>0</v>
          </cell>
          <cell r="AE225">
            <v>53100</v>
          </cell>
          <cell r="AH225">
            <v>79</v>
          </cell>
          <cell r="AI225">
            <v>72</v>
          </cell>
          <cell r="AJ225">
            <v>1</v>
          </cell>
          <cell r="AK225">
            <v>4.4675726565847583E-2</v>
          </cell>
          <cell r="AL225">
            <v>0</v>
          </cell>
          <cell r="AM225">
            <v>1.082411556471774E-2</v>
          </cell>
          <cell r="AN225">
            <v>5.9823022775762402E-2</v>
          </cell>
          <cell r="AO225">
            <v>0.11323272033451726</v>
          </cell>
          <cell r="AP225">
            <v>0.17144977815824702</v>
          </cell>
          <cell r="AQ225">
            <v>0.23491208420254217</v>
          </cell>
          <cell r="AR225">
            <v>0.30409964902074033</v>
          </cell>
          <cell r="AS225">
            <v>0.37953664039858703</v>
          </cell>
          <cell r="AT225">
            <v>0.4617988625413994</v>
          </cell>
          <cell r="AU225">
            <v>0.55152068866027448</v>
          </cell>
          <cell r="AW225">
            <v>0</v>
          </cell>
          <cell r="AY225">
            <v>0</v>
          </cell>
          <cell r="AZ225">
            <v>0</v>
          </cell>
          <cell r="BA225">
            <v>1</v>
          </cell>
          <cell r="BC225">
            <v>5.1714289848182906</v>
          </cell>
          <cell r="BD225">
            <v>8.2175748857745461</v>
          </cell>
          <cell r="BE225">
            <v>10.092392000517149</v>
          </cell>
          <cell r="BF225">
            <v>12.697125450545222</v>
          </cell>
          <cell r="BG225">
            <v>16.126029609610384</v>
          </cell>
          <cell r="BH225">
            <v>20.484588236230017</v>
          </cell>
          <cell r="BI225">
            <v>25.890945604939063</v>
          </cell>
          <cell r="BJ225">
            <v>32.477535067195554</v>
          </cell>
          <cell r="BL225">
            <v>483780.88828831154</v>
          </cell>
        </row>
        <row r="226">
          <cell r="A226">
            <v>10002056</v>
          </cell>
          <cell r="B226">
            <v>1</v>
          </cell>
          <cell r="C226" t="str">
            <v>E7</v>
          </cell>
          <cell r="D226" t="str">
            <v>RPH</v>
          </cell>
          <cell r="E226">
            <v>33</v>
          </cell>
          <cell r="F226" t="str">
            <v>M</v>
          </cell>
          <cell r="G226">
            <v>35507</v>
          </cell>
          <cell r="H226">
            <v>1</v>
          </cell>
          <cell r="I226">
            <v>3000000</v>
          </cell>
          <cell r="J226">
            <v>396600</v>
          </cell>
          <cell r="K226">
            <v>396600</v>
          </cell>
          <cell r="L226">
            <v>396600</v>
          </cell>
          <cell r="M226">
            <v>7</v>
          </cell>
          <cell r="N226">
            <v>7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T226">
            <v>9900</v>
          </cell>
          <cell r="U226">
            <v>9900</v>
          </cell>
          <cell r="W226">
            <v>3000000</v>
          </cell>
          <cell r="X226">
            <v>0</v>
          </cell>
          <cell r="Y226">
            <v>0</v>
          </cell>
          <cell r="Z226">
            <v>19800</v>
          </cell>
          <cell r="AB226">
            <v>320987.58031980065</v>
          </cell>
          <cell r="AC226">
            <v>0</v>
          </cell>
          <cell r="AD226">
            <v>0</v>
          </cell>
          <cell r="AE226">
            <v>9900</v>
          </cell>
          <cell r="AH226">
            <v>79</v>
          </cell>
          <cell r="AI226">
            <v>72</v>
          </cell>
          <cell r="AJ226">
            <v>1</v>
          </cell>
          <cell r="AK226">
            <v>0.10699586010660021</v>
          </cell>
          <cell r="AL226">
            <v>0</v>
          </cell>
          <cell r="AM226">
            <v>7.5707581278558589E-2</v>
          </cell>
          <cell r="AN226">
            <v>0.19822074429371367</v>
          </cell>
          <cell r="AO226">
            <v>0.33186897175704372</v>
          </cell>
          <cell r="AP226">
            <v>0.47767941730577967</v>
          </cell>
          <cell r="AQ226">
            <v>0.63678586600260689</v>
          </cell>
          <cell r="AR226">
            <v>0.81043533255395006</v>
          </cell>
          <cell r="AS226">
            <v>1</v>
          </cell>
          <cell r="AT226" t="str">
            <v/>
          </cell>
          <cell r="AU226" t="str">
            <v/>
          </cell>
          <cell r="AW226">
            <v>0</v>
          </cell>
          <cell r="AY226">
            <v>0</v>
          </cell>
          <cell r="AZ226">
            <v>0</v>
          </cell>
          <cell r="BA226">
            <v>1</v>
          </cell>
          <cell r="BC226">
            <v>12.01869011480699</v>
          </cell>
          <cell r="BD226">
            <v>22.649766557560028</v>
          </cell>
          <cell r="BE226">
            <v>29.604114638500789</v>
          </cell>
          <cell r="BF226">
            <v>39.236028305858447</v>
          </cell>
          <cell r="BG226">
            <v>49.957743968887378</v>
          </cell>
          <cell r="BH226" t="str">
            <v/>
          </cell>
          <cell r="BI226" t="str">
            <v/>
          </cell>
          <cell r="BJ226" t="str">
            <v/>
          </cell>
          <cell r="BL226">
            <v>149873.23190666214</v>
          </cell>
        </row>
        <row r="227">
          <cell r="A227">
            <v>10002056</v>
          </cell>
          <cell r="B227">
            <v>2</v>
          </cell>
          <cell r="C227" t="str">
            <v>E10</v>
          </cell>
          <cell r="D227" t="str">
            <v>RPH</v>
          </cell>
          <cell r="E227">
            <v>33</v>
          </cell>
          <cell r="F227" t="str">
            <v>M</v>
          </cell>
          <cell r="G227">
            <v>35507</v>
          </cell>
          <cell r="H227">
            <v>1</v>
          </cell>
          <cell r="I227">
            <v>4000000</v>
          </cell>
          <cell r="J227">
            <v>326800</v>
          </cell>
          <cell r="K227">
            <v>326800</v>
          </cell>
          <cell r="L227">
            <v>326800</v>
          </cell>
          <cell r="M227">
            <v>10</v>
          </cell>
          <cell r="N227">
            <v>10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T227">
            <v>9200</v>
          </cell>
          <cell r="U227">
            <v>9200</v>
          </cell>
          <cell r="W227">
            <v>2363106.3550580931</v>
          </cell>
          <cell r="X227">
            <v>0</v>
          </cell>
          <cell r="Y227">
            <v>0</v>
          </cell>
          <cell r="Z227">
            <v>18400</v>
          </cell>
          <cell r="AB227">
            <v>263797.37205085321</v>
          </cell>
          <cell r="AC227">
            <v>0</v>
          </cell>
          <cell r="AD227">
            <v>0</v>
          </cell>
          <cell r="AE227">
            <v>9200</v>
          </cell>
          <cell r="AH227">
            <v>79</v>
          </cell>
          <cell r="AI227">
            <v>72</v>
          </cell>
          <cell r="AJ227">
            <v>1</v>
          </cell>
          <cell r="AK227">
            <v>6.5949343012713296E-2</v>
          </cell>
          <cell r="AL227">
            <v>0</v>
          </cell>
          <cell r="AM227">
            <v>3.297264268946265E-2</v>
          </cell>
          <cell r="AN227">
            <v>0.1070155203587782</v>
          </cell>
          <cell r="AO227">
            <v>0.18775205873106215</v>
          </cell>
          <cell r="AP227">
            <v>0.27579102287542656</v>
          </cell>
          <cell r="AQ227">
            <v>0.37180446277850798</v>
          </cell>
          <cell r="AR227">
            <v>0.47653016960130801</v>
          </cell>
          <cell r="AS227">
            <v>0.59077658876452332</v>
          </cell>
          <cell r="AT227">
            <v>0.71543358946521385</v>
          </cell>
          <cell r="AU227">
            <v>0.85148184964783713</v>
          </cell>
          <cell r="AW227">
            <v>0</v>
          </cell>
          <cell r="AY227">
            <v>0</v>
          </cell>
          <cell r="AZ227">
            <v>0</v>
          </cell>
          <cell r="BA227">
            <v>1</v>
          </cell>
          <cell r="BC227">
            <v>7.5128900225380644</v>
          </cell>
          <cell r="BD227">
            <v>12.627968449523021</v>
          </cell>
          <cell r="BE227">
            <v>15.607923564275417</v>
          </cell>
          <cell r="BF227">
            <v>19.692168371568787</v>
          </cell>
          <cell r="BG227">
            <v>25.024192966714786</v>
          </cell>
          <cell r="BH227">
            <v>31.764850138158835</v>
          </cell>
          <cell r="BI227">
            <v>40.094586841085352</v>
          </cell>
          <cell r="BJ227">
            <v>50.21592765306319</v>
          </cell>
          <cell r="BL227">
            <v>100096.77186685914</v>
          </cell>
        </row>
        <row r="228">
          <cell r="A228">
            <v>10002143</v>
          </cell>
          <cell r="B228">
            <v>0</v>
          </cell>
          <cell r="C228" t="str">
            <v>CP16</v>
          </cell>
          <cell r="D228" t="str">
            <v>RPH</v>
          </cell>
          <cell r="E228">
            <v>31</v>
          </cell>
          <cell r="F228" t="str">
            <v>M</v>
          </cell>
          <cell r="G228">
            <v>35551</v>
          </cell>
          <cell r="H228">
            <v>1</v>
          </cell>
          <cell r="I228">
            <v>30000000</v>
          </cell>
          <cell r="J228">
            <v>1679100</v>
          </cell>
          <cell r="K228">
            <v>1263000</v>
          </cell>
          <cell r="L228">
            <v>1263000</v>
          </cell>
          <cell r="M228">
            <v>16</v>
          </cell>
          <cell r="N228">
            <v>16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T228">
            <v>0</v>
          </cell>
          <cell r="U228">
            <v>0</v>
          </cell>
          <cell r="W228">
            <v>7704148.1407963904</v>
          </cell>
          <cell r="X228">
            <v>0</v>
          </cell>
          <cell r="Y228">
            <v>0</v>
          </cell>
          <cell r="Z228">
            <v>0</v>
          </cell>
          <cell r="AB228">
            <v>945196.40973645216</v>
          </cell>
          <cell r="AC228">
            <v>0</v>
          </cell>
          <cell r="AD228">
            <v>0</v>
          </cell>
          <cell r="AE228">
            <v>0</v>
          </cell>
          <cell r="AH228">
            <v>77</v>
          </cell>
          <cell r="AI228">
            <v>72</v>
          </cell>
          <cell r="AJ228">
            <v>1</v>
          </cell>
          <cell r="AK228">
            <v>3.1506546991215072E-2</v>
          </cell>
          <cell r="AL228">
            <v>0</v>
          </cell>
          <cell r="AM228">
            <v>1.3081862609058414E-3</v>
          </cell>
          <cell r="AN228">
            <v>3.527443154218729E-2</v>
          </cell>
          <cell r="AO228">
            <v>7.229619582183705E-2</v>
          </cell>
          <cell r="AP228">
            <v>0.11264706997320934</v>
          </cell>
          <cell r="AQ228">
            <v>0.15662637544064101</v>
          </cell>
          <cell r="AR228">
            <v>0.20455947034993704</v>
          </cell>
          <cell r="AS228">
            <v>0.25680493802654636</v>
          </cell>
          <cell r="AT228">
            <v>0.31375538146215554</v>
          </cell>
          <cell r="AU228">
            <v>0.37583903590826229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>
            <v>3.7667998877226645</v>
          </cell>
          <cell r="BD228">
            <v>5.5777140236479941</v>
          </cell>
          <cell r="BE228">
            <v>6.7947879745113795</v>
          </cell>
          <cell r="BF228">
            <v>8.519644637135567</v>
          </cell>
          <cell r="BG228">
            <v>10.817503313345643</v>
          </cell>
          <cell r="BH228">
            <v>13.761358749996274</v>
          </cell>
          <cell r="BI228">
            <v>17.432840677607203</v>
          </cell>
          <cell r="BJ228">
            <v>21.923135517910051</v>
          </cell>
          <cell r="BL228">
            <v>324525.09940036928</v>
          </cell>
        </row>
        <row r="229">
          <cell r="A229">
            <v>10002143</v>
          </cell>
          <cell r="B229">
            <v>1</v>
          </cell>
          <cell r="C229" t="str">
            <v>E10</v>
          </cell>
          <cell r="D229" t="str">
            <v>RPH</v>
          </cell>
          <cell r="E229">
            <v>31</v>
          </cell>
          <cell r="F229" t="str">
            <v>M</v>
          </cell>
          <cell r="G229">
            <v>35551</v>
          </cell>
          <cell r="H229">
            <v>1</v>
          </cell>
          <cell r="I229">
            <v>3000000</v>
          </cell>
          <cell r="J229">
            <v>244800</v>
          </cell>
          <cell r="K229">
            <v>244800</v>
          </cell>
          <cell r="L229">
            <v>244800</v>
          </cell>
          <cell r="M229">
            <v>10</v>
          </cell>
          <cell r="N229">
            <v>10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W229">
            <v>1772483.6244721615</v>
          </cell>
          <cell r="X229">
            <v>0</v>
          </cell>
          <cell r="Y229">
            <v>0</v>
          </cell>
          <cell r="Z229">
            <v>0</v>
          </cell>
          <cell r="AB229">
            <v>197701.39602786285</v>
          </cell>
          <cell r="AC229">
            <v>0</v>
          </cell>
          <cell r="AD229">
            <v>0</v>
          </cell>
          <cell r="AE229">
            <v>0</v>
          </cell>
          <cell r="AH229">
            <v>77</v>
          </cell>
          <cell r="AI229">
            <v>72</v>
          </cell>
          <cell r="AJ229">
            <v>1</v>
          </cell>
          <cell r="AK229">
            <v>6.5900465342620951E-2</v>
          </cell>
          <cell r="AL229">
            <v>0</v>
          </cell>
          <cell r="AM229">
            <v>3.28821954981659E-2</v>
          </cell>
          <cell r="AN229">
            <v>0.10693457803439416</v>
          </cell>
          <cell r="AO229">
            <v>0.18768947497971217</v>
          </cell>
          <cell r="AP229">
            <v>0.27575598670398399</v>
          </cell>
          <cell r="AQ229">
            <v>0.37180199194505265</v>
          </cell>
          <cell r="AR229">
            <v>0.47655774592443778</v>
          </cell>
          <cell r="AS229">
            <v>0.59082787482405386</v>
          </cell>
          <cell r="AT229">
            <v>0.71549571692106972</v>
          </cell>
          <cell r="AU229">
            <v>0.85153072731792934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C229">
            <v>7.5057993109224252</v>
          </cell>
          <cell r="BD229">
            <v>12.619314257939283</v>
          </cell>
          <cell r="BE229">
            <v>15.599821219597695</v>
          </cell>
          <cell r="BF229">
            <v>19.684948669074025</v>
          </cell>
          <cell r="BG229">
            <v>25.017981880126818</v>
          </cell>
          <cell r="BH229">
            <v>31.75956505366883</v>
          </cell>
          <cell r="BI229">
            <v>40.089733124925687</v>
          </cell>
          <cell r="BJ229">
            <v>50.210225539138946</v>
          </cell>
          <cell r="BL229">
            <v>75053.945640380451</v>
          </cell>
        </row>
        <row r="230">
          <cell r="A230">
            <v>10002143</v>
          </cell>
          <cell r="B230">
            <v>2</v>
          </cell>
          <cell r="C230" t="str">
            <v>E13</v>
          </cell>
          <cell r="D230" t="str">
            <v>RPH</v>
          </cell>
          <cell r="E230">
            <v>31</v>
          </cell>
          <cell r="F230" t="str">
            <v>M</v>
          </cell>
          <cell r="G230">
            <v>35551</v>
          </cell>
          <cell r="H230">
            <v>1</v>
          </cell>
          <cell r="I230">
            <v>3000000</v>
          </cell>
          <cell r="J230">
            <v>171300</v>
          </cell>
          <cell r="K230">
            <v>171300</v>
          </cell>
          <cell r="L230">
            <v>171300</v>
          </cell>
          <cell r="M230">
            <v>13</v>
          </cell>
          <cell r="N230">
            <v>13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T230">
            <v>0</v>
          </cell>
          <cell r="U230">
            <v>0</v>
          </cell>
          <cell r="W230">
            <v>1138573.4388490317</v>
          </cell>
          <cell r="X230">
            <v>0</v>
          </cell>
          <cell r="Y230">
            <v>0</v>
          </cell>
          <cell r="Z230">
            <v>0</v>
          </cell>
          <cell r="AB230">
            <v>133875.35666375194</v>
          </cell>
          <cell r="AC230">
            <v>0</v>
          </cell>
          <cell r="AD230">
            <v>0</v>
          </cell>
          <cell r="AE230">
            <v>0</v>
          </cell>
          <cell r="AH230">
            <v>77</v>
          </cell>
          <cell r="AI230">
            <v>72</v>
          </cell>
          <cell r="AJ230">
            <v>1</v>
          </cell>
          <cell r="AK230">
            <v>4.4625118887917314E-2</v>
          </cell>
          <cell r="AL230">
            <v>0</v>
          </cell>
          <cell r="AM230">
            <v>1.0723041097418617E-2</v>
          </cell>
          <cell r="AN230">
            <v>5.9716477767262244E-2</v>
          </cell>
          <cell r="AO230">
            <v>0.11312924130123647</v>
          </cell>
          <cell r="AP230">
            <v>0.17135966296725208</v>
          </cell>
          <cell r="AQ230">
            <v>0.23484397381843075</v>
          </cell>
          <cell r="AR230">
            <v>0.30405760524605374</v>
          </cell>
          <cell r="AS230">
            <v>0.37952447961634389</v>
          </cell>
          <cell r="AT230">
            <v>0.46181892096254484</v>
          </cell>
          <cell r="AU230">
            <v>0.55156912077516274</v>
          </cell>
          <cell r="AW230">
            <v>0</v>
          </cell>
          <cell r="AY230">
            <v>0</v>
          </cell>
          <cell r="AZ230">
            <v>0</v>
          </cell>
          <cell r="BA230">
            <v>0</v>
          </cell>
          <cell r="BC230">
            <v>5.1642896542124115</v>
          </cell>
          <cell r="BD230">
            <v>8.2080981951182928</v>
          </cell>
          <cell r="BE230">
            <v>10.082992643045516</v>
          </cell>
          <cell r="BF230">
            <v>12.688143101503101</v>
          </cell>
          <cell r="BG230">
            <v>16.117763765191921</v>
          </cell>
          <cell r="BH230">
            <v>20.477381538206107</v>
          </cell>
          <cell r="BI230">
            <v>25.88512022779701</v>
          </cell>
          <cell r="BJ230">
            <v>32.473118193209785</v>
          </cell>
          <cell r="BL230">
            <v>48353.291295575764</v>
          </cell>
        </row>
        <row r="231">
          <cell r="A231">
            <v>10002158</v>
          </cell>
          <cell r="B231">
            <v>0</v>
          </cell>
          <cell r="C231" t="str">
            <v>CP18</v>
          </cell>
          <cell r="D231" t="str">
            <v>RPH</v>
          </cell>
          <cell r="E231">
            <v>29</v>
          </cell>
          <cell r="F231" t="str">
            <v>F</v>
          </cell>
          <cell r="G231">
            <v>35558</v>
          </cell>
          <cell r="H231">
            <v>1</v>
          </cell>
          <cell r="I231">
            <v>30000000</v>
          </cell>
          <cell r="J231">
            <v>1043000</v>
          </cell>
          <cell r="K231">
            <v>1043000</v>
          </cell>
          <cell r="L231">
            <v>1043000</v>
          </cell>
          <cell r="M231">
            <v>18</v>
          </cell>
          <cell r="N231">
            <v>18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T231">
            <v>32400</v>
          </cell>
          <cell r="U231">
            <v>32400</v>
          </cell>
          <cell r="W231">
            <v>6126145.4049221678</v>
          </cell>
          <cell r="X231">
            <v>0</v>
          </cell>
          <cell r="Y231">
            <v>0</v>
          </cell>
          <cell r="Z231">
            <v>64800</v>
          </cell>
          <cell r="AB231">
            <v>749657.96188965288</v>
          </cell>
          <cell r="AC231">
            <v>0</v>
          </cell>
          <cell r="AD231">
            <v>0</v>
          </cell>
          <cell r="AE231">
            <v>32400</v>
          </cell>
          <cell r="AH231">
            <v>77</v>
          </cell>
          <cell r="AI231">
            <v>72</v>
          </cell>
          <cell r="AJ231">
            <v>1</v>
          </cell>
          <cell r="AK231">
            <v>2.4988598729655098E-2</v>
          </cell>
          <cell r="AL231">
            <v>0</v>
          </cell>
          <cell r="AM231">
            <v>1.1690054679728834E-3</v>
          </cell>
          <cell r="AN231">
            <v>2.8159332793139452E-2</v>
          </cell>
          <cell r="AO231">
            <v>5.7576947894293073E-2</v>
          </cell>
          <cell r="AP231">
            <v>8.9642109657343871E-2</v>
          </cell>
          <cell r="AQ231">
            <v>0.12459045946190411</v>
          </cell>
          <cell r="AR231">
            <v>0.16268411051589027</v>
          </cell>
          <cell r="AS231">
            <v>0.20420484683073892</v>
          </cell>
          <cell r="AT231">
            <v>0.24945886725115346</v>
          </cell>
          <cell r="AU231">
            <v>0.29878339146842148</v>
          </cell>
          <cell r="AW231">
            <v>0</v>
          </cell>
          <cell r="AY231">
            <v>0</v>
          </cell>
          <cell r="AZ231">
            <v>0</v>
          </cell>
          <cell r="BA231">
            <v>1</v>
          </cell>
          <cell r="BC231">
            <v>3.1157909276886797</v>
          </cell>
          <cell r="BD231">
            <v>4.3579692765427431</v>
          </cell>
          <cell r="BE231">
            <v>5.2731138332384937</v>
          </cell>
          <cell r="BF231">
            <v>6.5942322633657611</v>
          </cell>
          <cell r="BG231">
            <v>8.3736014270844628</v>
          </cell>
          <cell r="BH231">
            <v>10.669498519972178</v>
          </cell>
          <cell r="BI231">
            <v>13.546907311319085</v>
          </cell>
          <cell r="BJ231">
            <v>17.078477801319483</v>
          </cell>
          <cell r="BL231">
            <v>251208.04281253388</v>
          </cell>
        </row>
        <row r="232">
          <cell r="A232">
            <v>10002196</v>
          </cell>
          <cell r="B232">
            <v>0</v>
          </cell>
          <cell r="C232" t="str">
            <v>CP18</v>
          </cell>
          <cell r="D232" t="str">
            <v>RPH</v>
          </cell>
          <cell r="E232">
            <v>34</v>
          </cell>
          <cell r="F232" t="str">
            <v>F</v>
          </cell>
          <cell r="G232">
            <v>35578</v>
          </cell>
          <cell r="H232">
            <v>1</v>
          </cell>
          <cell r="I232">
            <v>30000000</v>
          </cell>
          <cell r="J232">
            <v>1059000</v>
          </cell>
          <cell r="K232">
            <v>1059000</v>
          </cell>
          <cell r="L232">
            <v>1059000</v>
          </cell>
          <cell r="M232">
            <v>18</v>
          </cell>
          <cell r="N232">
            <v>18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T232">
            <v>38100</v>
          </cell>
          <cell r="U232">
            <v>38100</v>
          </cell>
          <cell r="W232">
            <v>6134093.3611551803</v>
          </cell>
          <cell r="X232">
            <v>0</v>
          </cell>
          <cell r="Y232">
            <v>0</v>
          </cell>
          <cell r="Z232">
            <v>76200</v>
          </cell>
          <cell r="AB232">
            <v>752443.79311662482</v>
          </cell>
          <cell r="AC232">
            <v>0</v>
          </cell>
          <cell r="AD232">
            <v>0</v>
          </cell>
          <cell r="AE232">
            <v>38100</v>
          </cell>
          <cell r="AH232">
            <v>77</v>
          </cell>
          <cell r="AI232">
            <v>72</v>
          </cell>
          <cell r="AJ232">
            <v>1</v>
          </cell>
          <cell r="AK232">
            <v>2.5081459770554159E-2</v>
          </cell>
          <cell r="AL232">
            <v>0</v>
          </cell>
          <cell r="AM232">
            <v>1.4263088240095145E-3</v>
          </cell>
          <cell r="AN232">
            <v>2.8456695221206973E-2</v>
          </cell>
          <cell r="AO232">
            <v>5.7903172159881777E-2</v>
          </cell>
          <cell r="AP232">
            <v>8.9981565721130169E-2</v>
          </cell>
          <cell r="AQ232">
            <v>0.12492572876299818</v>
          </cell>
          <cell r="AR232">
            <v>0.16299413721307993</v>
          </cell>
          <cell r="AS232">
            <v>0.20446977870517269</v>
          </cell>
          <cell r="AT232">
            <v>0.24966453986907067</v>
          </cell>
          <cell r="AU232">
            <v>0.29891965125162806</v>
          </cell>
          <cell r="AW232">
            <v>0</v>
          </cell>
          <cell r="AY232">
            <v>0</v>
          </cell>
          <cell r="AZ232">
            <v>0</v>
          </cell>
          <cell r="BA232">
            <v>1</v>
          </cell>
          <cell r="BC232">
            <v>3.1302010500053674</v>
          </cell>
          <cell r="BD232">
            <v>4.3788746287340237</v>
          </cell>
          <cell r="BE232">
            <v>5.2952956039415051</v>
          </cell>
          <cell r="BF232">
            <v>6.6173501556598104</v>
          </cell>
          <cell r="BG232">
            <v>8.3968948639031993</v>
          </cell>
          <cell r="BH232">
            <v>10.691922486994553</v>
          </cell>
          <cell r="BI232">
            <v>13.567385194154156</v>
          </cell>
          <cell r="BJ232">
            <v>17.095936530360802</v>
          </cell>
          <cell r="BL232">
            <v>251906.84591709598</v>
          </cell>
        </row>
        <row r="233">
          <cell r="A233">
            <v>10002202</v>
          </cell>
          <cell r="B233">
            <v>0</v>
          </cell>
          <cell r="C233" t="str">
            <v>CP14</v>
          </cell>
          <cell r="D233" t="str">
            <v>RPH</v>
          </cell>
          <cell r="E233">
            <v>39</v>
          </cell>
          <cell r="F233" t="str">
            <v>M</v>
          </cell>
          <cell r="G233">
            <v>35583</v>
          </cell>
          <cell r="H233">
            <v>2</v>
          </cell>
          <cell r="I233">
            <v>25000000</v>
          </cell>
          <cell r="J233">
            <v>912700</v>
          </cell>
          <cell r="K233">
            <v>670800</v>
          </cell>
          <cell r="L233">
            <v>1341600</v>
          </cell>
          <cell r="M233">
            <v>14</v>
          </cell>
          <cell r="N233">
            <v>14</v>
          </cell>
          <cell r="O233">
            <v>25000000</v>
          </cell>
          <cell r="P233">
            <v>65000</v>
          </cell>
          <cell r="Q233">
            <v>0</v>
          </cell>
          <cell r="R233">
            <v>0</v>
          </cell>
          <cell r="T233">
            <v>40700</v>
          </cell>
          <cell r="U233">
            <v>61800</v>
          </cell>
          <cell r="W233">
            <v>7445848.0356607642</v>
          </cell>
          <cell r="X233">
            <v>65000</v>
          </cell>
          <cell r="Y233">
            <v>0</v>
          </cell>
          <cell r="Z233">
            <v>123600</v>
          </cell>
          <cell r="AB233">
            <v>999697.52684511815</v>
          </cell>
          <cell r="AC233">
            <v>65000</v>
          </cell>
          <cell r="AD233">
            <v>0</v>
          </cell>
          <cell r="AE233">
            <v>61800</v>
          </cell>
          <cell r="AH233">
            <v>76</v>
          </cell>
          <cell r="AI233">
            <v>72</v>
          </cell>
          <cell r="AJ233">
            <v>1</v>
          </cell>
          <cell r="AK233">
            <v>3.9987901073804726E-2</v>
          </cell>
          <cell r="AL233">
            <v>0</v>
          </cell>
          <cell r="AM233">
            <v>6.3765272464832434E-3</v>
          </cell>
          <cell r="AN233">
            <v>4.957344884891135E-2</v>
          </cell>
          <cell r="AO233">
            <v>9.6626973316260523E-2</v>
          </cell>
          <cell r="AP233">
            <v>0.14789174737434702</v>
          </cell>
          <cell r="AQ233">
            <v>0.20375442318245995</v>
          </cell>
          <cell r="AR233">
            <v>0.26464246537082903</v>
          </cell>
          <cell r="AS233">
            <v>0.33102537748203209</v>
          </cell>
          <cell r="AT233">
            <v>0.40341708036370266</v>
          </cell>
          <cell r="AU233">
            <v>0.48238489768485038</v>
          </cell>
          <cell r="AW233">
            <v>0</v>
          </cell>
          <cell r="AY233">
            <v>1</v>
          </cell>
          <cell r="AZ233">
            <v>0</v>
          </cell>
          <cell r="BA233">
            <v>1</v>
          </cell>
          <cell r="BC233">
            <v>4.6656211999417145</v>
          </cell>
          <cell r="BD233">
            <v>7.242975885431143</v>
          </cell>
          <cell r="BE233">
            <v>8.861604529256315</v>
          </cell>
          <cell r="BF233">
            <v>11.122808829493446</v>
          </cell>
          <cell r="BG233">
            <v>14.109498522446536</v>
          </cell>
          <cell r="BH233">
            <v>17.914711328452718</v>
          </cell>
          <cell r="BI233">
            <v>22.642760548892049</v>
          </cell>
          <cell r="BJ233">
            <v>28.410794476497216</v>
          </cell>
          <cell r="BL233">
            <v>352737.46306116343</v>
          </cell>
        </row>
        <row r="234">
          <cell r="A234">
            <v>10002202</v>
          </cell>
          <cell r="B234">
            <v>1</v>
          </cell>
          <cell r="C234" t="str">
            <v>E8</v>
          </cell>
          <cell r="D234" t="str">
            <v>RPH</v>
          </cell>
          <cell r="E234">
            <v>39</v>
          </cell>
          <cell r="F234" t="str">
            <v>M</v>
          </cell>
          <cell r="G234">
            <v>35583</v>
          </cell>
          <cell r="H234">
            <v>2</v>
          </cell>
          <cell r="I234">
            <v>2500000</v>
          </cell>
          <cell r="J234">
            <v>146100</v>
          </cell>
          <cell r="K234">
            <v>146100</v>
          </cell>
          <cell r="L234">
            <v>292200</v>
          </cell>
          <cell r="M234">
            <v>8</v>
          </cell>
          <cell r="N234">
            <v>8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T234">
            <v>5700</v>
          </cell>
          <cell r="U234">
            <v>11400</v>
          </cell>
          <cell r="W234">
            <v>1871352.7887505349</v>
          </cell>
          <cell r="X234">
            <v>0</v>
          </cell>
          <cell r="Y234">
            <v>0</v>
          </cell>
          <cell r="Z234">
            <v>22800</v>
          </cell>
          <cell r="AB234">
            <v>224871.86984892926</v>
          </cell>
          <cell r="AC234">
            <v>0</v>
          </cell>
          <cell r="AD234">
            <v>0</v>
          </cell>
          <cell r="AE234">
            <v>11400</v>
          </cell>
          <cell r="AH234">
            <v>76</v>
          </cell>
          <cell r="AI234">
            <v>72</v>
          </cell>
          <cell r="AJ234">
            <v>1</v>
          </cell>
          <cell r="AK234">
            <v>8.9948747939571708E-2</v>
          </cell>
          <cell r="AL234">
            <v>0</v>
          </cell>
          <cell r="AM234">
            <v>5.8285201628419936E-2</v>
          </cell>
          <cell r="AN234">
            <v>0.16020139735109729</v>
          </cell>
          <cell r="AO234">
            <v>0.27136897491991496</v>
          </cell>
          <cell r="AP234">
            <v>0.39266484696603265</v>
          </cell>
          <cell r="AQ234">
            <v>0.52505288213747647</v>
          </cell>
          <cell r="AR234">
            <v>0.66959978627944905</v>
          </cell>
          <cell r="AS234">
            <v>0.82748244472097876</v>
          </cell>
          <cell r="AT234">
            <v>1</v>
          </cell>
          <cell r="AU234" t="str">
            <v/>
          </cell>
          <cell r="AW234">
            <v>0</v>
          </cell>
          <cell r="AY234">
            <v>0</v>
          </cell>
          <cell r="AZ234">
            <v>0</v>
          </cell>
          <cell r="BA234">
            <v>1</v>
          </cell>
          <cell r="BC234">
            <v>10.163506650926085</v>
          </cell>
          <cell r="BD234">
            <v>18.205117786283807</v>
          </cell>
          <cell r="BE234">
            <v>23.171699629917526</v>
          </cell>
          <cell r="BF234">
            <v>30.016265808004036</v>
          </cell>
          <cell r="BG234">
            <v>38.190969620660105</v>
          </cell>
          <cell r="BH234">
            <v>48.38315700391847</v>
          </cell>
          <cell r="BI234" t="str">
            <v/>
          </cell>
          <cell r="BJ234" t="str">
            <v/>
          </cell>
          <cell r="BL234">
            <v>95477.424051650276</v>
          </cell>
        </row>
        <row r="235">
          <cell r="A235">
            <v>10002202</v>
          </cell>
          <cell r="B235">
            <v>2</v>
          </cell>
          <cell r="C235" t="str">
            <v>E11</v>
          </cell>
          <cell r="D235" t="str">
            <v>RPH</v>
          </cell>
          <cell r="E235">
            <v>39</v>
          </cell>
          <cell r="F235" t="str">
            <v>M</v>
          </cell>
          <cell r="G235">
            <v>35583</v>
          </cell>
          <cell r="H235">
            <v>2</v>
          </cell>
          <cell r="I235">
            <v>2500000</v>
          </cell>
          <cell r="J235">
            <v>95800</v>
          </cell>
          <cell r="K235">
            <v>95800</v>
          </cell>
          <cell r="L235">
            <v>191600</v>
          </cell>
          <cell r="M235">
            <v>11</v>
          </cell>
          <cell r="N235">
            <v>11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T235">
            <v>4100</v>
          </cell>
          <cell r="U235">
            <v>8200</v>
          </cell>
          <cell r="W235">
            <v>1142269.2519888799</v>
          </cell>
          <cell r="X235">
            <v>0</v>
          </cell>
          <cell r="Y235">
            <v>0</v>
          </cell>
          <cell r="Z235">
            <v>16400</v>
          </cell>
          <cell r="AB235">
            <v>144234.43818241317</v>
          </cell>
          <cell r="AC235">
            <v>0</v>
          </cell>
          <cell r="AD235">
            <v>0</v>
          </cell>
          <cell r="AE235">
            <v>8200</v>
          </cell>
          <cell r="AH235">
            <v>76</v>
          </cell>
          <cell r="AI235">
            <v>72</v>
          </cell>
          <cell r="AJ235">
            <v>1</v>
          </cell>
          <cell r="AK235">
            <v>5.7693775272965271E-2</v>
          </cell>
          <cell r="AL235">
            <v>0</v>
          </cell>
          <cell r="AM235">
            <v>2.4750744659636226E-2</v>
          </cell>
          <cell r="AN235">
            <v>8.8693563947493836E-2</v>
          </cell>
          <cell r="AO235">
            <v>0.15838750233179427</v>
          </cell>
          <cell r="AP235">
            <v>0.23436860305816493</v>
          </cell>
          <cell r="AQ235">
            <v>0.31722344553913129</v>
          </cell>
          <cell r="AR235">
            <v>0.40760078596171423</v>
          </cell>
          <cell r="AS235">
            <v>0.50621461562938963</v>
          </cell>
          <cell r="AT235">
            <v>0.61384947598268547</v>
          </cell>
          <cell r="AU235">
            <v>0.73137214144810314</v>
          </cell>
          <cell r="AW235">
            <v>0</v>
          </cell>
          <cell r="AY235">
            <v>0</v>
          </cell>
          <cell r="AZ235">
            <v>0</v>
          </cell>
          <cell r="BA235">
            <v>1</v>
          </cell>
          <cell r="BC235">
            <v>6.6163686993774498</v>
          </cell>
          <cell r="BD235">
            <v>10.911779927514525</v>
          </cell>
          <cell r="BE235">
            <v>13.447243559590525</v>
          </cell>
          <cell r="BF235">
            <v>16.936362476475786</v>
          </cell>
          <cell r="BG235">
            <v>21.503393702659967</v>
          </cell>
          <cell r="BH235">
            <v>27.288016191765408</v>
          </cell>
          <cell r="BI235">
            <v>34.447186106756448</v>
          </cell>
          <cell r="BJ235">
            <v>43.15747463685566</v>
          </cell>
          <cell r="BL235">
            <v>53758.484256649921</v>
          </cell>
        </row>
        <row r="236">
          <cell r="A236">
            <v>10002203</v>
          </cell>
          <cell r="B236">
            <v>0</v>
          </cell>
          <cell r="C236" t="str">
            <v>CP16</v>
          </cell>
          <cell r="D236" t="str">
            <v>RPH</v>
          </cell>
          <cell r="E236">
            <v>39</v>
          </cell>
          <cell r="F236" t="str">
            <v>M</v>
          </cell>
          <cell r="G236">
            <v>35583</v>
          </cell>
          <cell r="H236">
            <v>2</v>
          </cell>
          <cell r="I236">
            <v>25000000</v>
          </cell>
          <cell r="J236">
            <v>731100</v>
          </cell>
          <cell r="K236">
            <v>549800</v>
          </cell>
          <cell r="L236">
            <v>1099600</v>
          </cell>
          <cell r="M236">
            <v>16</v>
          </cell>
          <cell r="N236">
            <v>16</v>
          </cell>
          <cell r="O236">
            <v>25000000</v>
          </cell>
          <cell r="P236">
            <v>65000</v>
          </cell>
          <cell r="Q236">
            <v>0</v>
          </cell>
          <cell r="R236">
            <v>0</v>
          </cell>
          <cell r="T236">
            <v>33700</v>
          </cell>
          <cell r="U236">
            <v>51800</v>
          </cell>
          <cell r="W236">
            <v>5778779.2170508327</v>
          </cell>
          <cell r="X236">
            <v>65000</v>
          </cell>
          <cell r="Y236">
            <v>0</v>
          </cell>
          <cell r="Z236">
            <v>103600</v>
          </cell>
          <cell r="AB236">
            <v>793948.32187595998</v>
          </cell>
          <cell r="AC236">
            <v>65000</v>
          </cell>
          <cell r="AD236">
            <v>0</v>
          </cell>
          <cell r="AE236">
            <v>51800</v>
          </cell>
          <cell r="AH236">
            <v>76</v>
          </cell>
          <cell r="AI236">
            <v>72</v>
          </cell>
          <cell r="AJ236">
            <v>1</v>
          </cell>
          <cell r="AK236">
            <v>3.1757932875038399E-2</v>
          </cell>
          <cell r="AL236">
            <v>0</v>
          </cell>
          <cell r="AM236">
            <v>2.1099585600159454E-3</v>
          </cell>
          <cell r="AN236">
            <v>3.6087049505302338E-2</v>
          </cell>
          <cell r="AO236">
            <v>7.3085452068301249E-2</v>
          </cell>
          <cell r="AP236">
            <v>0.11338089889299863</v>
          </cell>
          <cell r="AQ236">
            <v>0.15727338096548826</v>
          </cell>
          <cell r="AR236">
            <v>0.20509445964870482</v>
          </cell>
          <cell r="AS236">
            <v>0.2572078777153618</v>
          </cell>
          <cell r="AT236">
            <v>0.31401091407165849</v>
          </cell>
          <cell r="AU236">
            <v>0.37594190251884518</v>
          </cell>
          <cell r="AW236">
            <v>0</v>
          </cell>
          <cell r="AY236">
            <v>1</v>
          </cell>
          <cell r="AZ236">
            <v>0</v>
          </cell>
          <cell r="BA236">
            <v>1</v>
          </cell>
          <cell r="BC236">
            <v>3.8070949912745542</v>
          </cell>
          <cell r="BD236">
            <v>5.6303566819673101</v>
          </cell>
          <cell r="BE236">
            <v>6.8473082006016153</v>
          </cell>
          <cell r="BF236">
            <v>8.5708443677010155</v>
          </cell>
          <cell r="BG236">
            <v>10.865964517655968</v>
          </cell>
          <cell r="BH236">
            <v>13.805537811571487</v>
          </cell>
          <cell r="BI236">
            <v>17.47116253540247</v>
          </cell>
          <cell r="BJ236">
            <v>21.954391244913545</v>
          </cell>
          <cell r="BL236">
            <v>271649.11294139922</v>
          </cell>
        </row>
        <row r="237">
          <cell r="A237">
            <v>10002203</v>
          </cell>
          <cell r="B237">
            <v>1</v>
          </cell>
          <cell r="C237" t="str">
            <v>E10</v>
          </cell>
          <cell r="D237" t="str">
            <v>RPH</v>
          </cell>
          <cell r="E237">
            <v>39</v>
          </cell>
          <cell r="F237" t="str">
            <v>M</v>
          </cell>
          <cell r="G237">
            <v>35583</v>
          </cell>
          <cell r="H237">
            <v>2</v>
          </cell>
          <cell r="I237">
            <v>2500000</v>
          </cell>
          <cell r="J237">
            <v>106900</v>
          </cell>
          <cell r="K237">
            <v>106900</v>
          </cell>
          <cell r="L237">
            <v>213800</v>
          </cell>
          <cell r="M237">
            <v>10</v>
          </cell>
          <cell r="N237">
            <v>10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T237">
            <v>4500</v>
          </cell>
          <cell r="U237">
            <v>9000</v>
          </cell>
          <cell r="W237">
            <v>1333557.1066874764</v>
          </cell>
          <cell r="X237">
            <v>0</v>
          </cell>
          <cell r="Y237">
            <v>0</v>
          </cell>
          <cell r="Z237">
            <v>18000</v>
          </cell>
          <cell r="AB237">
            <v>165443.17023878597</v>
          </cell>
          <cell r="AC237">
            <v>0</v>
          </cell>
          <cell r="AD237">
            <v>0</v>
          </cell>
          <cell r="AE237">
            <v>9000</v>
          </cell>
          <cell r="AH237">
            <v>76</v>
          </cell>
          <cell r="AI237">
            <v>72</v>
          </cell>
          <cell r="AJ237">
            <v>1</v>
          </cell>
          <cell r="AK237">
            <v>6.6177268095514385E-2</v>
          </cell>
          <cell r="AL237">
            <v>0</v>
          </cell>
          <cell r="AM237">
            <v>3.3565912585430346E-2</v>
          </cell>
          <cell r="AN237">
            <v>0.10747774305187385</v>
          </cell>
          <cell r="AO237">
            <v>0.18805625743371229</v>
          </cell>
          <cell r="AP237">
            <v>0.27592607678902248</v>
          </cell>
          <cell r="AQ237">
            <v>0.37177166223617458</v>
          </cell>
          <cell r="AR237">
            <v>0.47635016611510916</v>
          </cell>
          <cell r="AS237">
            <v>0.59049551923487198</v>
          </cell>
          <cell r="AT237">
            <v>0.7151253785628382</v>
          </cell>
          <cell r="AU237">
            <v>0.85125392456503601</v>
          </cell>
          <cell r="AW237">
            <v>0</v>
          </cell>
          <cell r="AY237">
            <v>0</v>
          </cell>
          <cell r="AZ237">
            <v>0</v>
          </cell>
          <cell r="BA237">
            <v>1</v>
          </cell>
          <cell r="BC237">
            <v>7.5502020637115796</v>
          </cell>
          <cell r="BD237">
            <v>12.669811733133203</v>
          </cell>
          <cell r="BE237">
            <v>15.645749094782417</v>
          </cell>
          <cell r="BF237">
            <v>19.725050632794218</v>
          </cell>
          <cell r="BG237">
            <v>25.052014906618759</v>
          </cell>
          <cell r="BH237">
            <v>31.788958794419067</v>
          </cell>
          <cell r="BI237">
            <v>40.118431610398488</v>
          </cell>
          <cell r="BJ237">
            <v>50.245932752840233</v>
          </cell>
          <cell r="BL237">
            <v>62630.037266546897</v>
          </cell>
        </row>
        <row r="238">
          <cell r="A238">
            <v>10002203</v>
          </cell>
          <cell r="B238">
            <v>2</v>
          </cell>
          <cell r="C238" t="str">
            <v>E13</v>
          </cell>
          <cell r="D238" t="str">
            <v>RPH</v>
          </cell>
          <cell r="E238">
            <v>39</v>
          </cell>
          <cell r="F238" t="str">
            <v>M</v>
          </cell>
          <cell r="G238">
            <v>35583</v>
          </cell>
          <cell r="H238">
            <v>2</v>
          </cell>
          <cell r="I238">
            <v>2500000</v>
          </cell>
          <cell r="J238">
            <v>74400</v>
          </cell>
          <cell r="K238">
            <v>74400</v>
          </cell>
          <cell r="L238">
            <v>148800</v>
          </cell>
          <cell r="M238">
            <v>13</v>
          </cell>
          <cell r="N238">
            <v>13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T238">
            <v>3300</v>
          </cell>
          <cell r="U238">
            <v>6600</v>
          </cell>
          <cell r="W238">
            <v>854648.74723932217</v>
          </cell>
          <cell r="X238">
            <v>0</v>
          </cell>
          <cell r="Y238">
            <v>0</v>
          </cell>
          <cell r="Z238">
            <v>13200</v>
          </cell>
          <cell r="AB238">
            <v>112247.94179809323</v>
          </cell>
          <cell r="AC238">
            <v>0</v>
          </cell>
          <cell r="AD238">
            <v>0</v>
          </cell>
          <cell r="AE238">
            <v>6600</v>
          </cell>
          <cell r="AH238">
            <v>76</v>
          </cell>
          <cell r="AI238">
            <v>72</v>
          </cell>
          <cell r="AJ238">
            <v>1</v>
          </cell>
          <cell r="AK238">
            <v>4.4899176719237294E-2</v>
          </cell>
          <cell r="AL238">
            <v>0</v>
          </cell>
          <cell r="AM238">
            <v>1.1469057865410137E-2</v>
          </cell>
          <cell r="AN238">
            <v>6.0410941684929664E-2</v>
          </cell>
          <cell r="AO238">
            <v>0.11373234873362775</v>
          </cell>
          <cell r="AP238">
            <v>0.17183769352459372</v>
          </cell>
          <cell r="AQ238">
            <v>0.23516839609495716</v>
          </cell>
          <cell r="AR238">
            <v>0.30421252344496108</v>
          </cell>
          <cell r="AS238">
            <v>0.37950647434649665</v>
          </cell>
          <cell r="AT238">
            <v>0.46163809802569405</v>
          </cell>
          <cell r="AU238">
            <v>0.55125648642471337</v>
          </cell>
          <cell r="AW238">
            <v>0</v>
          </cell>
          <cell r="AY238">
            <v>0</v>
          </cell>
          <cell r="AZ238">
            <v>0</v>
          </cell>
          <cell r="BA238">
            <v>1</v>
          </cell>
          <cell r="BC238">
            <v>5.2069328915936888</v>
          </cell>
          <cell r="BD238">
            <v>8.260451514060021</v>
          </cell>
          <cell r="BE238">
            <v>10.132971505775963</v>
          </cell>
          <cell r="BF238">
            <v>12.734126996729657</v>
          </cell>
          <cell r="BG238">
            <v>16.158219312488185</v>
          </cell>
          <cell r="BH238">
            <v>20.5111262960259</v>
          </cell>
          <cell r="BI238">
            <v>25.911639667166028</v>
          </cell>
          <cell r="BJ238">
            <v>32.493238058621216</v>
          </cell>
          <cell r="BL238">
            <v>40395.548281220465</v>
          </cell>
        </row>
        <row r="239">
          <cell r="A239">
            <v>10002214</v>
          </cell>
          <cell r="B239">
            <v>0</v>
          </cell>
          <cell r="C239" t="str">
            <v>CP18</v>
          </cell>
          <cell r="D239" t="str">
            <v>RPH</v>
          </cell>
          <cell r="E239">
            <v>33</v>
          </cell>
          <cell r="F239" t="str">
            <v>M</v>
          </cell>
          <cell r="G239">
            <v>35597</v>
          </cell>
          <cell r="H239">
            <v>1</v>
          </cell>
          <cell r="I239">
            <v>30000000</v>
          </cell>
          <cell r="J239">
            <v>2179100</v>
          </cell>
          <cell r="K239">
            <v>1531500</v>
          </cell>
          <cell r="L239">
            <v>1531500</v>
          </cell>
          <cell r="M239">
            <v>18</v>
          </cell>
          <cell r="N239">
            <v>18</v>
          </cell>
          <cell r="O239">
            <v>30000000</v>
          </cell>
          <cell r="P239">
            <v>120000</v>
          </cell>
          <cell r="Q239">
            <v>0</v>
          </cell>
          <cell r="R239">
            <v>0</v>
          </cell>
          <cell r="T239">
            <v>68850</v>
          </cell>
          <cell r="U239">
            <v>28050</v>
          </cell>
          <cell r="W239">
            <v>6135894.6138428086</v>
          </cell>
          <cell r="X239">
            <v>120000</v>
          </cell>
          <cell r="Y239">
            <v>0</v>
          </cell>
          <cell r="Z239">
            <v>56100</v>
          </cell>
          <cell r="AB239">
            <v>752502.71604708373</v>
          </cell>
          <cell r="AC239">
            <v>120000</v>
          </cell>
          <cell r="AD239">
            <v>0</v>
          </cell>
          <cell r="AE239">
            <v>28050</v>
          </cell>
          <cell r="AH239">
            <v>76</v>
          </cell>
          <cell r="AI239">
            <v>72</v>
          </cell>
          <cell r="AJ239">
            <v>1</v>
          </cell>
          <cell r="AK239">
            <v>2.5083423868236126E-2</v>
          </cell>
          <cell r="AL239">
            <v>0</v>
          </cell>
          <cell r="AM239">
            <v>1.502336862191811E-3</v>
          </cell>
          <cell r="AN239">
            <v>2.8520613440240178E-2</v>
          </cell>
          <cell r="AO239">
            <v>5.7958422894270278E-2</v>
          </cell>
          <cell r="AP239">
            <v>9.0030231308896091E-2</v>
          </cell>
          <cell r="AQ239">
            <v>0.12497288178798463</v>
          </cell>
          <cell r="AR239">
            <v>0.1630455020474901</v>
          </cell>
          <cell r="AS239">
            <v>0.20452982046142695</v>
          </cell>
          <cell r="AT239">
            <v>0.24973450597142141</v>
          </cell>
          <cell r="AU239">
            <v>0.29899945866792532</v>
          </cell>
          <cell r="AW239">
            <v>0</v>
          </cell>
          <cell r="AY239">
            <v>1</v>
          </cell>
          <cell r="AZ239">
            <v>0</v>
          </cell>
          <cell r="BA239">
            <v>1</v>
          </cell>
          <cell r="BC239">
            <v>3.1316223487158785</v>
          </cell>
          <cell r="BD239">
            <v>4.3800698537105101</v>
          </cell>
          <cell r="BE239">
            <v>5.2962392457052863</v>
          </cell>
          <cell r="BF239">
            <v>6.6181771823171998</v>
          </cell>
          <cell r="BG239">
            <v>8.3978552237101418</v>
          </cell>
          <cell r="BH239">
            <v>10.693311119211417</v>
          </cell>
          <cell r="BI239">
            <v>13.569416600422308</v>
          </cell>
          <cell r="BJ239">
            <v>17.098778966042978</v>
          </cell>
          <cell r="BL239">
            <v>251935.65671130424</v>
          </cell>
        </row>
        <row r="240">
          <cell r="A240">
            <v>10002214</v>
          </cell>
          <cell r="B240">
            <v>2</v>
          </cell>
          <cell r="C240" t="str">
            <v>E12</v>
          </cell>
          <cell r="D240" t="str">
            <v>RPH</v>
          </cell>
          <cell r="E240">
            <v>33</v>
          </cell>
          <cell r="F240" t="str">
            <v>M</v>
          </cell>
          <cell r="G240">
            <v>35597</v>
          </cell>
          <cell r="H240">
            <v>1</v>
          </cell>
          <cell r="I240">
            <v>5000000</v>
          </cell>
          <cell r="J240">
            <v>323500</v>
          </cell>
          <cell r="K240">
            <v>323500</v>
          </cell>
          <cell r="L240">
            <v>323500</v>
          </cell>
          <cell r="M240">
            <v>12</v>
          </cell>
          <cell r="N240">
            <v>12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T240">
            <v>19400</v>
          </cell>
          <cell r="U240">
            <v>19400</v>
          </cell>
          <cell r="W240">
            <v>2185981.709131029</v>
          </cell>
          <cell r="X240">
            <v>0</v>
          </cell>
          <cell r="Y240">
            <v>0</v>
          </cell>
          <cell r="Z240">
            <v>38800</v>
          </cell>
          <cell r="AB240">
            <v>252455.6717227893</v>
          </cell>
          <cell r="AC240">
            <v>0</v>
          </cell>
          <cell r="AD240">
            <v>0</v>
          </cell>
          <cell r="AE240">
            <v>19400</v>
          </cell>
          <cell r="AH240">
            <v>76</v>
          </cell>
          <cell r="AI240">
            <v>72</v>
          </cell>
          <cell r="AJ240">
            <v>1</v>
          </cell>
          <cell r="AK240">
            <v>5.0491134344557861E-2</v>
          </cell>
          <cell r="AL240">
            <v>0</v>
          </cell>
          <cell r="AM240">
            <v>1.6876802859198625E-2</v>
          </cell>
          <cell r="AN240">
            <v>7.2714173453538256E-2</v>
          </cell>
          <cell r="AO240">
            <v>0.13358453566075834</v>
          </cell>
          <cell r="AP240">
            <v>0.19994201601410666</v>
          </cell>
          <cell r="AQ240">
            <v>0.27228801578057799</v>
          </cell>
          <cell r="AR240">
            <v>0.35117241928404308</v>
          </cell>
          <cell r="AS240">
            <v>0.43719634182620581</v>
          </cell>
          <cell r="AT240">
            <v>0.53102052426270463</v>
          </cell>
          <cell r="AU240">
            <v>0.63337297595788333</v>
          </cell>
          <cell r="AW240">
            <v>0</v>
          </cell>
          <cell r="AY240">
            <v>0</v>
          </cell>
          <cell r="AZ240">
            <v>0</v>
          </cell>
          <cell r="BA240">
            <v>1</v>
          </cell>
          <cell r="BC240">
            <v>5.8118695354006737</v>
          </cell>
          <cell r="BD240">
            <v>9.4234445908738564</v>
          </cell>
          <cell r="BE240">
            <v>11.600129728456757</v>
          </cell>
          <cell r="BF240">
            <v>14.608931057740993</v>
          </cell>
          <cell r="BG240">
            <v>18.557509026483455</v>
          </cell>
          <cell r="BH240">
            <v>23.566413069030776</v>
          </cell>
          <cell r="BI240">
            <v>29.770728259775058</v>
          </cell>
          <cell r="BJ240">
            <v>37.321935928593</v>
          </cell>
          <cell r="BL240">
            <v>92787.545132417275</v>
          </cell>
        </row>
        <row r="241">
          <cell r="A241">
            <v>10002214</v>
          </cell>
          <cell r="B241">
            <v>3</v>
          </cell>
          <cell r="C241" t="str">
            <v>E15</v>
          </cell>
          <cell r="D241" t="str">
            <v>RPH</v>
          </cell>
          <cell r="E241">
            <v>33</v>
          </cell>
          <cell r="F241" t="str">
            <v>M</v>
          </cell>
          <cell r="G241">
            <v>35597</v>
          </cell>
          <cell r="H241">
            <v>1</v>
          </cell>
          <cell r="I241">
            <v>7000000</v>
          </cell>
          <cell r="J241">
            <v>324100</v>
          </cell>
          <cell r="K241">
            <v>324100</v>
          </cell>
          <cell r="L241">
            <v>324100</v>
          </cell>
          <cell r="M241">
            <v>15</v>
          </cell>
          <cell r="N241">
            <v>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T241">
            <v>21400</v>
          </cell>
          <cell r="U241">
            <v>21400</v>
          </cell>
          <cell r="W241">
            <v>2027077.6937240101</v>
          </cell>
          <cell r="X241">
            <v>0</v>
          </cell>
          <cell r="Y241">
            <v>0</v>
          </cell>
          <cell r="Z241">
            <v>42800</v>
          </cell>
          <cell r="AB241">
            <v>249106.90194062307</v>
          </cell>
          <cell r="AC241">
            <v>0</v>
          </cell>
          <cell r="AD241">
            <v>0</v>
          </cell>
          <cell r="AE241">
            <v>21400</v>
          </cell>
          <cell r="AH241">
            <v>76</v>
          </cell>
          <cell r="AI241">
            <v>72</v>
          </cell>
          <cell r="AJ241">
            <v>1</v>
          </cell>
          <cell r="AK241">
            <v>3.5586700277231868E-2</v>
          </cell>
          <cell r="AL241">
            <v>0</v>
          </cell>
          <cell r="AM241">
            <v>1.3691392146575887E-3</v>
          </cell>
          <cell r="AN241">
            <v>3.9694572694069952E-2</v>
          </cell>
          <cell r="AO241">
            <v>8.1461849398438646E-2</v>
          </cell>
          <cell r="AP241">
            <v>0.12697843289796201</v>
          </cell>
          <cell r="AQ241">
            <v>0.17658388612825035</v>
          </cell>
          <cell r="AR241">
            <v>0.23065013509492638</v>
          </cell>
          <cell r="AS241">
            <v>0.28958252767485859</v>
          </cell>
          <cell r="AT241">
            <v>0.35382585203041794</v>
          </cell>
          <cell r="AU241">
            <v>0.42387008344278576</v>
          </cell>
          <cell r="AW241">
            <v>0</v>
          </cell>
          <cell r="AY241">
            <v>0</v>
          </cell>
          <cell r="AZ241">
            <v>0</v>
          </cell>
          <cell r="BA241">
            <v>1</v>
          </cell>
          <cell r="BC241">
            <v>4.1699716546846552</v>
          </cell>
          <cell r="BD241">
            <v>6.332842051969461</v>
          </cell>
          <cell r="BE241">
            <v>7.7364054103876434</v>
          </cell>
          <cell r="BF241">
            <v>9.7104520778007117</v>
          </cell>
          <cell r="BG241">
            <v>12.32838859527547</v>
          </cell>
          <cell r="BH241">
            <v>15.672289779776829</v>
          </cell>
          <cell r="BI241">
            <v>19.833999249577797</v>
          </cell>
          <cell r="BJ241">
            <v>24.916398482103851</v>
          </cell>
          <cell r="BL241">
            <v>86298.720166928295</v>
          </cell>
        </row>
        <row r="242">
          <cell r="A242">
            <v>10002245</v>
          </cell>
          <cell r="B242">
            <v>0</v>
          </cell>
          <cell r="C242" t="str">
            <v>CP17</v>
          </cell>
          <cell r="D242" t="str">
            <v>RPH</v>
          </cell>
          <cell r="E242">
            <v>31</v>
          </cell>
          <cell r="F242" t="str">
            <v>M</v>
          </cell>
          <cell r="G242">
            <v>35608</v>
          </cell>
          <cell r="H242">
            <v>1</v>
          </cell>
          <cell r="I242">
            <v>30000000</v>
          </cell>
          <cell r="J242">
            <v>1879500</v>
          </cell>
          <cell r="K242">
            <v>1155000</v>
          </cell>
          <cell r="L242">
            <v>1155000</v>
          </cell>
          <cell r="M242">
            <v>17</v>
          </cell>
          <cell r="N242">
            <v>17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T242">
            <v>58300</v>
          </cell>
          <cell r="U242">
            <v>36900</v>
          </cell>
          <cell r="W242">
            <v>6861247.896357323</v>
          </cell>
          <cell r="X242">
            <v>0</v>
          </cell>
          <cell r="Y242">
            <v>0</v>
          </cell>
          <cell r="Z242">
            <v>73800</v>
          </cell>
          <cell r="AB242">
            <v>841230.20499450713</v>
          </cell>
          <cell r="AC242">
            <v>0</v>
          </cell>
          <cell r="AD242">
            <v>0</v>
          </cell>
          <cell r="AE242">
            <v>36900</v>
          </cell>
          <cell r="AH242">
            <v>76</v>
          </cell>
          <cell r="AI242">
            <v>72</v>
          </cell>
          <cell r="AJ242">
            <v>1</v>
          </cell>
          <cell r="AK242">
            <v>2.8041006833150237E-2</v>
          </cell>
          <cell r="AL242">
            <v>0</v>
          </cell>
          <cell r="AM242">
            <v>1.3490627401214761E-3</v>
          </cell>
          <cell r="AN242">
            <v>3.1580845879405101E-2</v>
          </cell>
          <cell r="AO242">
            <v>6.4530122588922656E-2</v>
          </cell>
          <cell r="AP242">
            <v>0.10043976636499527</v>
          </cell>
          <cell r="AQ242">
            <v>0.1395754110745353</v>
          </cell>
          <cell r="AR242">
            <v>0.18222558265830235</v>
          </cell>
          <cell r="AS242">
            <v>0.22870826321191076</v>
          </cell>
          <cell r="AT242">
            <v>0.27937147344885577</v>
          </cell>
          <cell r="AU242">
            <v>0.33459451539096935</v>
          </cell>
          <cell r="AW242">
            <v>0</v>
          </cell>
          <cell r="AY242">
            <v>0</v>
          </cell>
          <cell r="AZ242">
            <v>0</v>
          </cell>
          <cell r="BA242">
            <v>1</v>
          </cell>
          <cell r="BC242">
            <v>3.4237736397608067</v>
          </cell>
          <cell r="BD242">
            <v>4.9324226676045777</v>
          </cell>
          <cell r="BE242">
            <v>5.9883386548358715</v>
          </cell>
          <cell r="BF242">
            <v>7.4975747252747684</v>
          </cell>
          <cell r="BG242">
            <v>9.5182774222983539</v>
          </cell>
          <cell r="BH242">
            <v>12.11551128736383</v>
          </cell>
          <cell r="BI242">
            <v>15.362017427796314</v>
          </cell>
          <cell r="BJ242">
            <v>19.339019384781487</v>
          </cell>
          <cell r="BL242">
            <v>285548.3226689506</v>
          </cell>
        </row>
        <row r="243">
          <cell r="A243">
            <v>10002245</v>
          </cell>
          <cell r="B243">
            <v>2</v>
          </cell>
          <cell r="C243" t="str">
            <v>E11</v>
          </cell>
          <cell r="D243" t="str">
            <v>RPH</v>
          </cell>
          <cell r="E243">
            <v>31</v>
          </cell>
          <cell r="F243" t="str">
            <v>M</v>
          </cell>
          <cell r="G243">
            <v>35608</v>
          </cell>
          <cell r="H243">
            <v>1</v>
          </cell>
          <cell r="I243">
            <v>5000000</v>
          </cell>
          <cell r="J243">
            <v>364000</v>
          </cell>
          <cell r="K243">
            <v>364000</v>
          </cell>
          <cell r="L243">
            <v>364000</v>
          </cell>
          <cell r="M243">
            <v>11</v>
          </cell>
          <cell r="N243">
            <v>11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T243">
            <v>10200</v>
          </cell>
          <cell r="U243">
            <v>10200</v>
          </cell>
          <cell r="W243">
            <v>2532353.548284783</v>
          </cell>
          <cell r="X243">
            <v>0</v>
          </cell>
          <cell r="Y243">
            <v>0</v>
          </cell>
          <cell r="Z243">
            <v>20400</v>
          </cell>
          <cell r="AB243">
            <v>287077.25249263673</v>
          </cell>
          <cell r="AC243">
            <v>0</v>
          </cell>
          <cell r="AD243">
            <v>0</v>
          </cell>
          <cell r="AE243">
            <v>10200</v>
          </cell>
          <cell r="AH243">
            <v>76</v>
          </cell>
          <cell r="AI243">
            <v>72</v>
          </cell>
          <cell r="AJ243">
            <v>1</v>
          </cell>
          <cell r="AK243">
            <v>5.7415450498527344E-2</v>
          </cell>
          <cell r="AL243">
            <v>0</v>
          </cell>
          <cell r="AM243">
            <v>2.4043249952750312E-2</v>
          </cell>
          <cell r="AN243">
            <v>8.8093718798350207E-2</v>
          </cell>
          <cell r="AO243">
            <v>0.15793432722632583</v>
          </cell>
          <cell r="AP243">
            <v>0.23408972144712775</v>
          </cell>
          <cell r="AQ243">
            <v>0.31713492009804889</v>
          </cell>
          <cell r="AR243">
            <v>0.40769792231382407</v>
          </cell>
          <cell r="AS243">
            <v>0.50647070965695662</v>
          </cell>
          <cell r="AT243">
            <v>0.61421255248356976</v>
          </cell>
          <cell r="AU243">
            <v>0.73175574292449408</v>
          </cell>
          <cell r="AW243">
            <v>0</v>
          </cell>
          <cell r="AY243">
            <v>0</v>
          </cell>
          <cell r="AZ243">
            <v>0</v>
          </cell>
          <cell r="BA243">
            <v>1</v>
          </cell>
          <cell r="BC243">
            <v>6.5724285973096164</v>
          </cell>
          <cell r="BD243">
            <v>10.860428895611339</v>
          </cell>
          <cell r="BE243">
            <v>13.399795426647577</v>
          </cell>
          <cell r="BF243">
            <v>16.894355541436511</v>
          </cell>
          <cell r="BG243">
            <v>21.467773515574521</v>
          </cell>
          <cell r="BH243">
            <v>27.258647697087966</v>
          </cell>
          <cell r="BI243">
            <v>34.422239854707314</v>
          </cell>
          <cell r="BJ243">
            <v>43.132423713868263</v>
          </cell>
          <cell r="BL243">
            <v>107338.8675778726</v>
          </cell>
        </row>
        <row r="244">
          <cell r="A244">
            <v>10002245</v>
          </cell>
          <cell r="B244">
            <v>3</v>
          </cell>
          <cell r="C244" t="str">
            <v>E14</v>
          </cell>
          <cell r="D244" t="str">
            <v>RPH</v>
          </cell>
          <cell r="E244">
            <v>31</v>
          </cell>
          <cell r="F244" t="str">
            <v>M</v>
          </cell>
          <cell r="G244">
            <v>35608</v>
          </cell>
          <cell r="H244">
            <v>1</v>
          </cell>
          <cell r="I244">
            <v>7000000</v>
          </cell>
          <cell r="J244">
            <v>360500</v>
          </cell>
          <cell r="K244">
            <v>360500</v>
          </cell>
          <cell r="L244">
            <v>360500</v>
          </cell>
          <cell r="M244">
            <v>14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T244">
            <v>11200</v>
          </cell>
          <cell r="U244">
            <v>11200</v>
          </cell>
          <cell r="W244">
            <v>2316355.3940509791</v>
          </cell>
          <cell r="X244">
            <v>0</v>
          </cell>
          <cell r="Y244">
            <v>0</v>
          </cell>
          <cell r="Z244">
            <v>22400</v>
          </cell>
          <cell r="AB244">
            <v>278028.36712998629</v>
          </cell>
          <cell r="AC244">
            <v>0</v>
          </cell>
          <cell r="AD244">
            <v>0</v>
          </cell>
          <cell r="AE244">
            <v>11200</v>
          </cell>
          <cell r="AH244">
            <v>76</v>
          </cell>
          <cell r="AI244">
            <v>72</v>
          </cell>
          <cell r="AJ244">
            <v>1</v>
          </cell>
          <cell r="AK244">
            <v>3.9718338161426614E-2</v>
          </cell>
          <cell r="AL244">
            <v>0</v>
          </cell>
          <cell r="AM244">
            <v>5.6151761444396264E-3</v>
          </cell>
          <cell r="AN244">
            <v>4.884001147891609E-2</v>
          </cell>
          <cell r="AO244">
            <v>9.5960034116292281E-2</v>
          </cell>
          <cell r="AP244">
            <v>0.14732550090543367</v>
          </cell>
          <cell r="AQ244">
            <v>0.20331986039839178</v>
          </cell>
          <cell r="AR244">
            <v>0.26436062330743459</v>
          </cell>
          <cell r="AS244">
            <v>0.33090791343585413</v>
          </cell>
          <cell r="AT244">
            <v>0.40346590643424352</v>
          </cell>
          <cell r="AU244">
            <v>0.48258552360747697</v>
          </cell>
          <cell r="AW244">
            <v>0</v>
          </cell>
          <cell r="AY244">
            <v>0</v>
          </cell>
          <cell r="AZ244">
            <v>0</v>
          </cell>
          <cell r="BA244">
            <v>1</v>
          </cell>
          <cell r="BC244">
            <v>4.6237356916115679</v>
          </cell>
          <cell r="BD244">
            <v>7.190401557458201</v>
          </cell>
          <cell r="BE244">
            <v>8.8106292418852927</v>
          </cell>
          <cell r="BF244">
            <v>11.074956497880066</v>
          </cell>
          <cell r="BG244">
            <v>14.066350823402146</v>
          </cell>
          <cell r="BH244">
            <v>17.877716546635178</v>
          </cell>
          <cell r="BI244">
            <v>22.613012449692604</v>
          </cell>
          <cell r="BJ244">
            <v>28.38847341169679</v>
          </cell>
          <cell r="BL244">
            <v>98464.455763815029</v>
          </cell>
        </row>
        <row r="245">
          <cell r="A245">
            <v>10002251</v>
          </cell>
          <cell r="B245">
            <v>0</v>
          </cell>
          <cell r="C245" t="str">
            <v>CP8</v>
          </cell>
          <cell r="D245" t="str">
            <v>RPH</v>
          </cell>
          <cell r="E245">
            <v>35</v>
          </cell>
          <cell r="F245" t="str">
            <v>M</v>
          </cell>
          <cell r="G245">
            <v>35607</v>
          </cell>
          <cell r="H245">
            <v>1</v>
          </cell>
          <cell r="I245">
            <v>21000000</v>
          </cell>
          <cell r="J245">
            <v>2343600</v>
          </cell>
          <cell r="K245">
            <v>2343600</v>
          </cell>
          <cell r="L245">
            <v>2343600</v>
          </cell>
          <cell r="M245">
            <v>8</v>
          </cell>
          <cell r="N245">
            <v>8</v>
          </cell>
          <cell r="O245">
            <v>21000000</v>
          </cell>
          <cell r="P245">
            <v>52500</v>
          </cell>
          <cell r="Q245">
            <v>0</v>
          </cell>
          <cell r="R245">
            <v>0</v>
          </cell>
          <cell r="T245">
            <v>70300</v>
          </cell>
          <cell r="U245">
            <v>70300</v>
          </cell>
          <cell r="W245">
            <v>17380431.620788999</v>
          </cell>
          <cell r="X245">
            <v>52500</v>
          </cell>
          <cell r="Y245">
            <v>0</v>
          </cell>
          <cell r="Z245">
            <v>140600</v>
          </cell>
          <cell r="AB245">
            <v>1885623.4250825592</v>
          </cell>
          <cell r="AC245">
            <v>52500</v>
          </cell>
          <cell r="AD245">
            <v>0</v>
          </cell>
          <cell r="AE245">
            <v>70300</v>
          </cell>
          <cell r="AH245">
            <v>76</v>
          </cell>
          <cell r="AI245">
            <v>72</v>
          </cell>
          <cell r="AJ245">
            <v>1</v>
          </cell>
          <cell r="AK245">
            <v>8.9791591670598053E-2</v>
          </cell>
          <cell r="AL245">
            <v>0</v>
          </cell>
          <cell r="AM245">
            <v>5.7863043491206023E-2</v>
          </cell>
          <cell r="AN245">
            <v>0.15993125263411795</v>
          </cell>
          <cell r="AO245">
            <v>0.27125499608049791</v>
          </cell>
          <cell r="AP245">
            <v>0.3926946226718005</v>
          </cell>
          <cell r="AQ245">
            <v>0.52519370328055093</v>
          </cell>
          <cell r="AR245">
            <v>0.66979252597478345</v>
          </cell>
          <cell r="AS245">
            <v>0.82763960098995226</v>
          </cell>
          <cell r="AT245">
            <v>1</v>
          </cell>
          <cell r="AU245" t="str">
            <v/>
          </cell>
          <cell r="AW245">
            <v>0</v>
          </cell>
          <cell r="AY245">
            <v>1</v>
          </cell>
          <cell r="AZ245">
            <v>0</v>
          </cell>
          <cell r="BA245">
            <v>1</v>
          </cell>
          <cell r="BC245">
            <v>10.135244271881003</v>
          </cell>
          <cell r="BD245">
            <v>18.17609417134193</v>
          </cell>
          <cell r="BE245">
            <v>23.146703382181073</v>
          </cell>
          <cell r="BF245">
            <v>29.994921555970606</v>
          </cell>
          <cell r="BG245">
            <v>38.170581569678241</v>
          </cell>
          <cell r="BH245">
            <v>48.359169309703958</v>
          </cell>
          <cell r="BI245" t="str">
            <v/>
          </cell>
          <cell r="BJ245" t="str">
            <v/>
          </cell>
          <cell r="BL245">
            <v>801582.21296324302</v>
          </cell>
        </row>
        <row r="246">
          <cell r="A246">
            <v>10002252</v>
          </cell>
          <cell r="B246">
            <v>0</v>
          </cell>
          <cell r="C246" t="str">
            <v>CP18</v>
          </cell>
          <cell r="D246" t="str">
            <v>RPH</v>
          </cell>
          <cell r="E246">
            <v>33</v>
          </cell>
          <cell r="F246" t="str">
            <v>F</v>
          </cell>
          <cell r="G246">
            <v>35609</v>
          </cell>
          <cell r="H246">
            <v>1</v>
          </cell>
          <cell r="I246">
            <v>30000000</v>
          </cell>
          <cell r="J246">
            <v>1059000</v>
          </cell>
          <cell r="K246">
            <v>1059000</v>
          </cell>
          <cell r="L246">
            <v>1059000</v>
          </cell>
          <cell r="M246">
            <v>18</v>
          </cell>
          <cell r="N246">
            <v>18</v>
          </cell>
          <cell r="O246">
            <v>30000000</v>
          </cell>
          <cell r="P246">
            <v>75000</v>
          </cell>
          <cell r="Q246">
            <v>0</v>
          </cell>
          <cell r="R246">
            <v>0</v>
          </cell>
          <cell r="T246">
            <v>37100</v>
          </cell>
          <cell r="U246">
            <v>37100</v>
          </cell>
          <cell r="W246">
            <v>6132969.1630675457</v>
          </cell>
          <cell r="X246">
            <v>75000</v>
          </cell>
          <cell r="Y246">
            <v>0</v>
          </cell>
          <cell r="Z246">
            <v>74200</v>
          </cell>
          <cell r="AB246">
            <v>751746.82745067007</v>
          </cell>
          <cell r="AC246">
            <v>75000</v>
          </cell>
          <cell r="AD246">
            <v>0</v>
          </cell>
          <cell r="AE246">
            <v>37100</v>
          </cell>
          <cell r="AH246">
            <v>76</v>
          </cell>
          <cell r="AI246">
            <v>72</v>
          </cell>
          <cell r="AJ246">
            <v>1</v>
          </cell>
          <cell r="AK246">
            <v>2.5058227581689001E-2</v>
          </cell>
          <cell r="AL246">
            <v>0</v>
          </cell>
          <cell r="AM246">
            <v>1.3641853762526024E-3</v>
          </cell>
          <cell r="AN246">
            <v>2.8386651143159719E-2</v>
          </cell>
          <cell r="AO246">
            <v>5.7831256044885593E-2</v>
          </cell>
          <cell r="AP246">
            <v>8.9911398859468777E-2</v>
          </cell>
          <cell r="AQ246">
            <v>0.12486312764048674</v>
          </cell>
          <cell r="AR246">
            <v>0.1629425225921195</v>
          </cell>
          <cell r="AS246">
            <v>0.20443230543558485</v>
          </cell>
          <cell r="AT246">
            <v>0.24964201017476911</v>
          </cell>
          <cell r="AU246">
            <v>0.29891246697863905</v>
          </cell>
          <cell r="AW246">
            <v>0</v>
          </cell>
          <cell r="AY246">
            <v>1</v>
          </cell>
          <cell r="AZ246">
            <v>0</v>
          </cell>
          <cell r="BA246">
            <v>1</v>
          </cell>
          <cell r="BC246">
            <v>3.1266292152270405</v>
          </cell>
          <cell r="BD246">
            <v>4.3738463000892009</v>
          </cell>
          <cell r="BE246">
            <v>5.2901309596822834</v>
          </cell>
          <cell r="BF246">
            <v>6.612240552524808</v>
          </cell>
          <cell r="BG246">
            <v>8.3920326451977516</v>
          </cell>
          <cell r="BH246">
            <v>10.687542115674107</v>
          </cell>
          <cell r="BI246">
            <v>13.56365245288746</v>
          </cell>
          <cell r="BJ246">
            <v>17.093004323448699</v>
          </cell>
          <cell r="BL246">
            <v>251760.97935593253</v>
          </cell>
        </row>
        <row r="247">
          <cell r="A247">
            <v>10002287</v>
          </cell>
          <cell r="B247">
            <v>0</v>
          </cell>
          <cell r="C247" t="str">
            <v>CP14</v>
          </cell>
          <cell r="D247" t="str">
            <v>RPH</v>
          </cell>
          <cell r="E247">
            <v>37</v>
          </cell>
          <cell r="F247" t="str">
            <v>M</v>
          </cell>
          <cell r="G247">
            <v>35507</v>
          </cell>
          <cell r="H247">
            <v>4</v>
          </cell>
          <cell r="I247">
            <v>16090000</v>
          </cell>
          <cell r="J247">
            <v>440020</v>
          </cell>
          <cell r="K247">
            <v>220050</v>
          </cell>
          <cell r="L247">
            <v>880200</v>
          </cell>
          <cell r="M247">
            <v>14</v>
          </cell>
          <cell r="N247">
            <v>14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T247">
            <v>17000</v>
          </cell>
          <cell r="U247">
            <v>36000</v>
          </cell>
          <cell r="W247">
            <v>5058503.4223960014</v>
          </cell>
          <cell r="X247">
            <v>0</v>
          </cell>
          <cell r="Y247">
            <v>0</v>
          </cell>
          <cell r="Z247">
            <v>72000</v>
          </cell>
          <cell r="AB247">
            <v>642050.46170063072</v>
          </cell>
          <cell r="AC247">
            <v>0</v>
          </cell>
          <cell r="AD247">
            <v>0</v>
          </cell>
          <cell r="AE247">
            <v>36000</v>
          </cell>
          <cell r="AH247">
            <v>79</v>
          </cell>
          <cell r="AI247">
            <v>72</v>
          </cell>
          <cell r="AJ247">
            <v>3</v>
          </cell>
          <cell r="AK247">
            <v>3.9903695568715397E-2</v>
          </cell>
          <cell r="AL247">
            <v>0</v>
          </cell>
          <cell r="AM247">
            <v>6.0926155973883844E-3</v>
          </cell>
          <cell r="AN247">
            <v>4.9315311141635065E-2</v>
          </cell>
          <cell r="AO247">
            <v>9.6404444938550937E-2</v>
          </cell>
          <cell r="AP247">
            <v>0.1477105673985043</v>
          </cell>
          <cell r="AQ247">
            <v>0.20362126836613592</v>
          </cell>
          <cell r="AR247">
            <v>0.26456181111062238</v>
          </cell>
          <cell r="AS247">
            <v>0.33099677126194516</v>
          </cell>
          <cell r="AT247">
            <v>0.40343884839444155</v>
          </cell>
          <cell r="AU247">
            <v>0.48245119159891281</v>
          </cell>
          <cell r="AW247">
            <v>0</v>
          </cell>
          <cell r="AY247">
            <v>0</v>
          </cell>
          <cell r="AZ247">
            <v>0</v>
          </cell>
          <cell r="BA247">
            <v>1</v>
          </cell>
          <cell r="BC247">
            <v>4.6516571352211882</v>
          </cell>
          <cell r="BD247">
            <v>7.2262761987762687</v>
          </cell>
          <cell r="BE247">
            <v>8.8457892403534011</v>
          </cell>
          <cell r="BF247">
            <v>11.108323877691072</v>
          </cell>
          <cell r="BG247">
            <v>14.096788928355567</v>
          </cell>
          <cell r="BH247">
            <v>17.904058771538693</v>
          </cell>
          <cell r="BI247">
            <v>22.634350614987046</v>
          </cell>
          <cell r="BJ247">
            <v>28.404533410315064</v>
          </cell>
          <cell r="BL247">
            <v>226817.33385724106</v>
          </cell>
        </row>
        <row r="248">
          <cell r="A248">
            <v>10002287</v>
          </cell>
          <cell r="B248">
            <v>1</v>
          </cell>
          <cell r="C248" t="str">
            <v>E9</v>
          </cell>
          <cell r="D248" t="str">
            <v>RPH</v>
          </cell>
          <cell r="E248">
            <v>37</v>
          </cell>
          <cell r="F248" t="str">
            <v>M</v>
          </cell>
          <cell r="G248">
            <v>35507</v>
          </cell>
          <cell r="H248">
            <v>4</v>
          </cell>
          <cell r="I248">
            <v>8870000</v>
          </cell>
          <cell r="J248">
            <v>219970</v>
          </cell>
          <cell r="K248">
            <v>219970</v>
          </cell>
          <cell r="L248">
            <v>879880</v>
          </cell>
          <cell r="M248">
            <v>9</v>
          </cell>
          <cell r="N248">
            <v>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T248">
            <v>8000</v>
          </cell>
          <cell r="U248">
            <v>32000</v>
          </cell>
          <cell r="W248">
            <v>5869960.6578168711</v>
          </cell>
          <cell r="X248">
            <v>0</v>
          </cell>
          <cell r="Y248">
            <v>0</v>
          </cell>
          <cell r="Z248">
            <v>64000</v>
          </cell>
          <cell r="AB248">
            <v>679324.34977615322</v>
          </cell>
          <cell r="AC248">
            <v>0</v>
          </cell>
          <cell r="AD248">
            <v>0</v>
          </cell>
          <cell r="AE248">
            <v>32000</v>
          </cell>
          <cell r="AH248">
            <v>79</v>
          </cell>
          <cell r="AI248">
            <v>72</v>
          </cell>
          <cell r="AJ248">
            <v>3</v>
          </cell>
          <cell r="AK248">
            <v>7.6586736164166086E-2</v>
          </cell>
          <cell r="AL248">
            <v>0</v>
          </cell>
          <cell r="AM248">
            <v>4.42318524797084E-2</v>
          </cell>
          <cell r="AN248">
            <v>0.13057615393819777</v>
          </cell>
          <cell r="AO248">
            <v>0.22473009223109691</v>
          </cell>
          <cell r="AP248">
            <v>0.32741943028940862</v>
          </cell>
          <cell r="AQ248">
            <v>0.43944681532095126</v>
          </cell>
          <cell r="AR248">
            <v>0.56169566131121584</v>
          </cell>
          <cell r="AS248">
            <v>0.69513724597658766</v>
          </cell>
          <cell r="AT248">
            <v>0.84084445649638428</v>
          </cell>
          <cell r="AU248">
            <v>1</v>
          </cell>
          <cell r="AW248">
            <v>0</v>
          </cell>
          <cell r="AY248">
            <v>0</v>
          </cell>
          <cell r="AZ248">
            <v>0</v>
          </cell>
          <cell r="BA248">
            <v>1</v>
          </cell>
          <cell r="BC248">
            <v>8.6894255586687255</v>
          </cell>
          <cell r="BD248">
            <v>14.828409013472944</v>
          </cell>
          <cell r="BE248">
            <v>18.351966427658176</v>
          </cell>
          <cell r="BF248">
            <v>23.16464318712589</v>
          </cell>
          <cell r="BG248">
            <v>29.43515874375667</v>
          </cell>
          <cell r="BH248">
            <v>37.353163334260103</v>
          </cell>
          <cell r="BI248">
            <v>47.132030676865028</v>
          </cell>
          <cell r="BJ248" t="str">
            <v/>
          </cell>
          <cell r="BL248">
            <v>261089.85805712166</v>
          </cell>
        </row>
        <row r="249">
          <cell r="A249">
            <v>10002315</v>
          </cell>
          <cell r="B249">
            <v>0</v>
          </cell>
          <cell r="C249" t="str">
            <v>CP14</v>
          </cell>
          <cell r="D249" t="str">
            <v>RPH</v>
          </cell>
          <cell r="E249">
            <v>42</v>
          </cell>
          <cell r="F249" t="str">
            <v>M</v>
          </cell>
          <cell r="G249">
            <v>35647</v>
          </cell>
          <cell r="H249">
            <v>1</v>
          </cell>
          <cell r="I249">
            <v>20000000</v>
          </cell>
          <cell r="J249">
            <v>1036000</v>
          </cell>
          <cell r="K249">
            <v>1036000</v>
          </cell>
          <cell r="L249">
            <v>1036000</v>
          </cell>
          <cell r="M249">
            <v>14</v>
          </cell>
          <cell r="N249">
            <v>14</v>
          </cell>
          <cell r="O249">
            <v>20000000</v>
          </cell>
          <cell r="P249">
            <v>50000</v>
          </cell>
          <cell r="Q249">
            <v>0</v>
          </cell>
          <cell r="R249">
            <v>0</v>
          </cell>
          <cell r="T249">
            <v>59100</v>
          </cell>
          <cell r="U249">
            <v>59100</v>
          </cell>
          <cell r="W249">
            <v>6622772.951729916</v>
          </cell>
          <cell r="X249">
            <v>50000</v>
          </cell>
          <cell r="Y249">
            <v>0</v>
          </cell>
          <cell r="Z249">
            <v>118200</v>
          </cell>
          <cell r="AB249">
            <v>802755.17849576357</v>
          </cell>
          <cell r="AC249">
            <v>50000</v>
          </cell>
          <cell r="AD249">
            <v>0</v>
          </cell>
          <cell r="AE249">
            <v>59100</v>
          </cell>
          <cell r="AH249">
            <v>74</v>
          </cell>
          <cell r="AI249">
            <v>72</v>
          </cell>
          <cell r="AJ249">
            <v>1</v>
          </cell>
          <cell r="AK249">
            <v>4.0137758924788179E-2</v>
          </cell>
          <cell r="AL249">
            <v>0</v>
          </cell>
          <cell r="AM249">
            <v>6.9369252461460307E-3</v>
          </cell>
          <cell r="AN249">
            <v>5.0080424916564226E-2</v>
          </cell>
          <cell r="AO249">
            <v>9.7068491137257518E-2</v>
          </cell>
          <cell r="AP249">
            <v>0.14825807012269354</v>
          </cell>
          <cell r="AQ249">
            <v>0.20403874178858916</v>
          </cell>
          <cell r="AR249">
            <v>0.26484163951752288</v>
          </cell>
          <cell r="AS249">
            <v>0.3311386475864958</v>
          </cell>
          <cell r="AT249">
            <v>0.40344565509759034</v>
          </cell>
          <cell r="AU249">
            <v>0.48233273069517035</v>
          </cell>
          <cell r="AW249">
            <v>0</v>
          </cell>
          <cell r="AY249">
            <v>1</v>
          </cell>
          <cell r="AZ249">
            <v>0</v>
          </cell>
          <cell r="BA249">
            <v>1</v>
          </cell>
          <cell r="BC249">
            <v>4.6915713042600364</v>
          </cell>
          <cell r="BD249">
            <v>7.2736754108454091</v>
          </cell>
          <cell r="BE249">
            <v>8.890680665077225</v>
          </cell>
          <cell r="BF249">
            <v>11.149655436531136</v>
          </cell>
          <cell r="BG249">
            <v>14.13358753567956</v>
          </cell>
          <cell r="BH249">
            <v>17.935622236092271</v>
          </cell>
          <cell r="BI249">
            <v>22.66021816294969</v>
          </cell>
          <cell r="BJ249">
            <v>28.424759323055959</v>
          </cell>
          <cell r="BL249">
            <v>282671.75071359123</v>
          </cell>
        </row>
        <row r="250">
          <cell r="A250">
            <v>10002324</v>
          </cell>
          <cell r="B250">
            <v>0</v>
          </cell>
          <cell r="C250" t="str">
            <v>CP17</v>
          </cell>
          <cell r="D250" t="str">
            <v>RPH</v>
          </cell>
          <cell r="E250">
            <v>28</v>
          </cell>
          <cell r="F250" t="str">
            <v>M</v>
          </cell>
          <cell r="G250">
            <v>35038</v>
          </cell>
          <cell r="H250">
            <v>2</v>
          </cell>
          <cell r="I250">
            <v>90000000</v>
          </cell>
          <cell r="J250">
            <v>3199600</v>
          </cell>
          <cell r="K250">
            <v>1797000</v>
          </cell>
          <cell r="L250">
            <v>3594000</v>
          </cell>
          <cell r="M250">
            <v>17</v>
          </cell>
          <cell r="N250">
            <v>17</v>
          </cell>
          <cell r="O250">
            <v>90000000</v>
          </cell>
          <cell r="P250">
            <v>234000</v>
          </cell>
          <cell r="Q250">
            <v>0</v>
          </cell>
          <cell r="R250">
            <v>0</v>
          </cell>
          <cell r="T250">
            <v>90000</v>
          </cell>
          <cell r="U250">
            <v>104200</v>
          </cell>
          <cell r="W250">
            <v>25133504.226714157</v>
          </cell>
          <cell r="X250">
            <v>234000</v>
          </cell>
          <cell r="Y250">
            <v>0</v>
          </cell>
          <cell r="Z250">
            <v>208400</v>
          </cell>
          <cell r="AB250">
            <v>2518815.2285640822</v>
          </cell>
          <cell r="AC250">
            <v>234000</v>
          </cell>
          <cell r="AD250">
            <v>0</v>
          </cell>
          <cell r="AE250">
            <v>104200</v>
          </cell>
          <cell r="AH250">
            <v>94</v>
          </cell>
          <cell r="AI250">
            <v>84</v>
          </cell>
          <cell r="AJ250">
            <v>2</v>
          </cell>
          <cell r="AK250">
            <v>2.7986835872934247E-2</v>
          </cell>
          <cell r="AL250">
            <v>0</v>
          </cell>
          <cell r="AM250">
            <v>1.2739871816654924E-3</v>
          </cell>
          <cell r="AN250">
            <v>3.1476230815457723E-2</v>
          </cell>
          <cell r="AO250">
            <v>6.4403767970490883E-2</v>
          </cell>
          <cell r="AP250">
            <v>0.10029917514019435</v>
          </cell>
          <cell r="AQ250">
            <v>0.13942763173971959</v>
          </cell>
          <cell r="AR250">
            <v>0.18208113886036242</v>
          </cell>
          <cell r="AS250">
            <v>0.22857673260700168</v>
          </cell>
          <cell r="AT250">
            <v>0.27926115807460172</v>
          </cell>
          <cell r="AU250">
            <v>0.3345120515936707</v>
          </cell>
          <cell r="AW250">
            <v>0</v>
          </cell>
          <cell r="AY250">
            <v>1</v>
          </cell>
          <cell r="AZ250">
            <v>0</v>
          </cell>
          <cell r="BA250">
            <v>1</v>
          </cell>
          <cell r="BC250">
            <v>3.4166608284080908</v>
          </cell>
          <cell r="BD250">
            <v>4.9215264926021156</v>
          </cell>
          <cell r="BE250">
            <v>5.9765181032263737</v>
          </cell>
          <cell r="BF250">
            <v>7.4848869203312685</v>
          </cell>
          <cell r="BG250">
            <v>9.5050246762337984</v>
          </cell>
          <cell r="BH250">
            <v>12.102123966898718</v>
          </cell>
          <cell r="BI250">
            <v>15.349016895525271</v>
          </cell>
          <cell r="BJ250">
            <v>19.326968651321501</v>
          </cell>
          <cell r="BL250">
            <v>1089191.1570208848</v>
          </cell>
        </row>
        <row r="251">
          <cell r="A251">
            <v>10002324</v>
          </cell>
          <cell r="B251">
            <v>2</v>
          </cell>
          <cell r="C251" t="str">
            <v>E11</v>
          </cell>
          <cell r="D251" t="str">
            <v>RPH</v>
          </cell>
          <cell r="E251">
            <v>28</v>
          </cell>
          <cell r="F251" t="str">
            <v>M</v>
          </cell>
          <cell r="G251">
            <v>35038</v>
          </cell>
          <cell r="H251">
            <v>2</v>
          </cell>
          <cell r="I251">
            <v>18000000</v>
          </cell>
          <cell r="J251">
            <v>679500</v>
          </cell>
          <cell r="K251">
            <v>679500</v>
          </cell>
          <cell r="L251">
            <v>1359000</v>
          </cell>
          <cell r="M251">
            <v>11</v>
          </cell>
          <cell r="N251">
            <v>11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T251">
            <v>17700</v>
          </cell>
          <cell r="U251">
            <v>35400</v>
          </cell>
          <cell r="W251">
            <v>11056845.898392599</v>
          </cell>
          <cell r="X251">
            <v>0</v>
          </cell>
          <cell r="Y251">
            <v>0</v>
          </cell>
          <cell r="Z251">
            <v>70800</v>
          </cell>
          <cell r="AB251">
            <v>1032517.1068327558</v>
          </cell>
          <cell r="AC251">
            <v>0</v>
          </cell>
          <cell r="AD251">
            <v>0</v>
          </cell>
          <cell r="AE251">
            <v>35400</v>
          </cell>
          <cell r="AH251">
            <v>94</v>
          </cell>
          <cell r="AI251">
            <v>84</v>
          </cell>
          <cell r="AJ251">
            <v>2</v>
          </cell>
          <cell r="AK251">
            <v>5.736206149070866E-2</v>
          </cell>
          <cell r="AL251">
            <v>0</v>
          </cell>
          <cell r="AM251">
            <v>2.3983157699002111E-2</v>
          </cell>
          <cell r="AN251">
            <v>8.802575743881158E-2</v>
          </cell>
          <cell r="AO251">
            <v>0.15787073042198813</v>
          </cell>
          <cell r="AP251">
            <v>0.23404035418164865</v>
          </cell>
          <cell r="AQ251">
            <v>0.31710660252833328</v>
          </cell>
          <cell r="AR251">
            <v>0.40769848963225674</v>
          </cell>
          <cell r="AS251">
            <v>0.50650205826078343</v>
          </cell>
          <cell r="AT251">
            <v>0.61426921657736666</v>
          </cell>
          <cell r="AU251">
            <v>0.73182322539273503</v>
          </cell>
          <cell r="AW251">
            <v>0</v>
          </cell>
          <cell r="AY251">
            <v>0</v>
          </cell>
          <cell r="AZ251">
            <v>0</v>
          </cell>
          <cell r="BA251">
            <v>1</v>
          </cell>
          <cell r="BC251">
            <v>6.5657231442348962</v>
          </cell>
          <cell r="BD251">
            <v>10.851383995791752</v>
          </cell>
          <cell r="BE251">
            <v>13.390876303957377</v>
          </cell>
          <cell r="BF251">
            <v>16.885879813279772</v>
          </cell>
          <cell r="BG251">
            <v>21.460194709873242</v>
          </cell>
          <cell r="BH251">
            <v>27.252291486383356</v>
          </cell>
          <cell r="BI251">
            <v>34.417116787213281</v>
          </cell>
          <cell r="BJ251">
            <v>43.127993002378439</v>
          </cell>
          <cell r="BL251">
            <v>490541.24675490038</v>
          </cell>
        </row>
        <row r="252">
          <cell r="A252">
            <v>10002324</v>
          </cell>
          <cell r="B252">
            <v>3</v>
          </cell>
          <cell r="C252" t="str">
            <v>E14</v>
          </cell>
          <cell r="D252" t="str">
            <v>RPH</v>
          </cell>
          <cell r="E252">
            <v>28</v>
          </cell>
          <cell r="F252" t="str">
            <v>M</v>
          </cell>
          <cell r="G252">
            <v>35038</v>
          </cell>
          <cell r="H252">
            <v>2</v>
          </cell>
          <cell r="I252">
            <v>27000000</v>
          </cell>
          <cell r="J252">
            <v>723100</v>
          </cell>
          <cell r="K252">
            <v>723100</v>
          </cell>
          <cell r="L252">
            <v>1446200</v>
          </cell>
          <cell r="M252">
            <v>14</v>
          </cell>
          <cell r="N252">
            <v>14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T252">
            <v>20200</v>
          </cell>
          <cell r="U252">
            <v>40400</v>
          </cell>
          <cell r="W252">
            <v>10893020.40926753</v>
          </cell>
          <cell r="X252">
            <v>0</v>
          </cell>
          <cell r="Y252">
            <v>0</v>
          </cell>
          <cell r="Z252">
            <v>80800</v>
          </cell>
          <cell r="AB252">
            <v>1070875.9097445533</v>
          </cell>
          <cell r="AC252">
            <v>0</v>
          </cell>
          <cell r="AD252">
            <v>0</v>
          </cell>
          <cell r="AE252">
            <v>40400</v>
          </cell>
          <cell r="AH252">
            <v>94</v>
          </cell>
          <cell r="AI252">
            <v>84</v>
          </cell>
          <cell r="AJ252">
            <v>2</v>
          </cell>
          <cell r="AK252">
            <v>3.9662070731279753E-2</v>
          </cell>
          <cell r="AL252">
            <v>0</v>
          </cell>
          <cell r="AM252">
            <v>5.546641550924325E-3</v>
          </cell>
          <cell r="AN252">
            <v>4.8749826361766446E-2</v>
          </cell>
          <cell r="AO252">
            <v>9.5858537784407727E-2</v>
          </cell>
          <cell r="AP252">
            <v>0.14722212365226128</v>
          </cell>
          <cell r="AQ252">
            <v>0.20322279856367836</v>
          </cell>
          <cell r="AR252">
            <v>0.26428121665862664</v>
          </cell>
          <cell r="AS252">
            <v>0.33085501583553201</v>
          </cell>
          <cell r="AT252">
            <v>0.40344520034324183</v>
          </cell>
          <cell r="AU252">
            <v>0.48259871367073248</v>
          </cell>
          <cell r="AW252">
            <v>0</v>
          </cell>
          <cell r="AY252">
            <v>0</v>
          </cell>
          <cell r="AZ252">
            <v>0</v>
          </cell>
          <cell r="BA252">
            <v>1</v>
          </cell>
          <cell r="BC252">
            <v>4.6166879817784308</v>
          </cell>
          <cell r="BD252">
            <v>7.1801371984424813</v>
          </cell>
          <cell r="BE252">
            <v>8.799906300772637</v>
          </cell>
          <cell r="BF252">
            <v>11.063987226179584</v>
          </cell>
          <cell r="BG252">
            <v>14.055586240596321</v>
          </cell>
          <cell r="BH252">
            <v>17.867677604412982</v>
          </cell>
          <cell r="BI252">
            <v>22.604205990038707</v>
          </cell>
          <cell r="BJ252">
            <v>28.381284016136753</v>
          </cell>
          <cell r="BL252">
            <v>482427.29531915049</v>
          </cell>
        </row>
        <row r="253">
          <cell r="A253">
            <v>10002332</v>
          </cell>
          <cell r="B253">
            <v>0</v>
          </cell>
          <cell r="C253" t="str">
            <v>CP15</v>
          </cell>
          <cell r="D253" t="str">
            <v>RPH</v>
          </cell>
          <cell r="E253">
            <v>39</v>
          </cell>
          <cell r="F253" t="str">
            <v>M</v>
          </cell>
          <cell r="G253">
            <v>35256</v>
          </cell>
          <cell r="H253">
            <v>4</v>
          </cell>
          <cell r="I253">
            <v>31000000</v>
          </cell>
          <cell r="J253">
            <v>434900</v>
          </cell>
          <cell r="K253">
            <v>381200</v>
          </cell>
          <cell r="L253">
            <v>1524800</v>
          </cell>
          <cell r="M253">
            <v>15</v>
          </cell>
          <cell r="N253">
            <v>15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T253">
            <v>19900</v>
          </cell>
          <cell r="U253">
            <v>70000</v>
          </cell>
          <cell r="W253">
            <v>9976785.7866404932</v>
          </cell>
          <cell r="X253">
            <v>0</v>
          </cell>
          <cell r="Y253">
            <v>0</v>
          </cell>
          <cell r="Z253">
            <v>140000</v>
          </cell>
          <cell r="AB253">
            <v>1109827.4283338787</v>
          </cell>
          <cell r="AC253">
            <v>0</v>
          </cell>
          <cell r="AD253">
            <v>0</v>
          </cell>
          <cell r="AE253">
            <v>70000</v>
          </cell>
          <cell r="AH253">
            <v>87</v>
          </cell>
          <cell r="AI253">
            <v>84</v>
          </cell>
          <cell r="AJ253">
            <v>2</v>
          </cell>
          <cell r="AK253">
            <v>3.5800884784963828E-2</v>
          </cell>
          <cell r="AL253">
            <v>0</v>
          </cell>
          <cell r="AM253">
            <v>2.0380957290235813E-3</v>
          </cell>
          <cell r="AN253">
            <v>4.0344109968963426E-2</v>
          </cell>
          <cell r="AO253">
            <v>8.2062770195996393E-2</v>
          </cell>
          <cell r="AP253">
            <v>0.12750668686266031</v>
          </cell>
          <cell r="AQ253">
            <v>0.17701631328666595</v>
          </cell>
          <cell r="AR253">
            <v>0.23096800669082918</v>
          </cell>
          <cell r="AS253">
            <v>0.28977489948030416</v>
          </cell>
          <cell r="AT253">
            <v>0.35388869965779213</v>
          </cell>
          <cell r="AU253">
            <v>0.42380794667004729</v>
          </cell>
          <cell r="AW253">
            <v>0</v>
          </cell>
          <cell r="AY253">
            <v>0</v>
          </cell>
          <cell r="AZ253">
            <v>0</v>
          </cell>
          <cell r="BA253">
            <v>1</v>
          </cell>
          <cell r="BC253">
            <v>4.2040323686116459</v>
          </cell>
          <cell r="BD253">
            <v>6.375765455497274</v>
          </cell>
          <cell r="BE253">
            <v>7.7782679656841491</v>
          </cell>
          <cell r="BF253">
            <v>9.7501481628254272</v>
          </cell>
          <cell r="BG253">
            <v>12.364660523408078</v>
          </cell>
          <cell r="BH253">
            <v>15.70396697631309</v>
          </cell>
          <cell r="BI253">
            <v>19.860127420022792</v>
          </cell>
          <cell r="BJ253">
            <v>24.936478669294807</v>
          </cell>
          <cell r="BL253">
            <v>486822.97626570583</v>
          </cell>
        </row>
        <row r="254">
          <cell r="A254">
            <v>10002332</v>
          </cell>
          <cell r="B254">
            <v>1</v>
          </cell>
          <cell r="C254" t="str">
            <v>E12</v>
          </cell>
          <cell r="D254" t="str">
            <v>RPH</v>
          </cell>
          <cell r="E254">
            <v>39</v>
          </cell>
          <cell r="F254" t="str">
            <v>M</v>
          </cell>
          <cell r="G254">
            <v>35256</v>
          </cell>
          <cell r="H254">
            <v>4</v>
          </cell>
          <cell r="I254">
            <v>3100000</v>
          </cell>
          <cell r="J254">
            <v>53700</v>
          </cell>
          <cell r="K254">
            <v>53700</v>
          </cell>
          <cell r="L254">
            <v>214800</v>
          </cell>
          <cell r="M254">
            <v>12</v>
          </cell>
          <cell r="N254">
            <v>12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T254">
            <v>2400</v>
          </cell>
          <cell r="U254">
            <v>9600</v>
          </cell>
          <cell r="W254">
            <v>1500143.6483587564</v>
          </cell>
          <cell r="X254">
            <v>0</v>
          </cell>
          <cell r="Y254">
            <v>0</v>
          </cell>
          <cell r="Z254">
            <v>19200</v>
          </cell>
          <cell r="AB254">
            <v>157225.30363644089</v>
          </cell>
          <cell r="AC254">
            <v>0</v>
          </cell>
          <cell r="AD254">
            <v>0</v>
          </cell>
          <cell r="AE254">
            <v>9600</v>
          </cell>
          <cell r="AH254">
            <v>87</v>
          </cell>
          <cell r="AI254">
            <v>84</v>
          </cell>
          <cell r="AJ254">
            <v>2</v>
          </cell>
          <cell r="AK254">
            <v>5.0717839882722868E-2</v>
          </cell>
          <cell r="AL254">
            <v>0</v>
          </cell>
          <cell r="AM254">
            <v>1.7506875545621581E-2</v>
          </cell>
          <cell r="AN254">
            <v>7.3265130937627543E-2</v>
          </cell>
          <cell r="AO254">
            <v>0.1340251411710412</v>
          </cell>
          <cell r="AP254">
            <v>0.20025085612724891</v>
          </cell>
          <cell r="AQ254">
            <v>0.27244930132850442</v>
          </cell>
          <cell r="AR254">
            <v>0.35118115735943634</v>
          </cell>
          <cell r="AS254">
            <v>0.43706303971461269</v>
          </cell>
          <cell r="AT254">
            <v>0.53077157212974635</v>
          </cell>
          <cell r="AU254">
            <v>0.63305407347517129</v>
          </cell>
          <cell r="AW254">
            <v>0</v>
          </cell>
          <cell r="AY254">
            <v>0</v>
          </cell>
          <cell r="AZ254">
            <v>0</v>
          </cell>
          <cell r="BA254">
            <v>1</v>
          </cell>
          <cell r="BC254">
            <v>5.8480553634943604</v>
          </cell>
          <cell r="BD254">
            <v>9.4661405654875512</v>
          </cell>
          <cell r="BE254">
            <v>11.639909944045616</v>
          </cell>
          <cell r="BF254">
            <v>14.644516063405023</v>
          </cell>
          <cell r="BG254">
            <v>18.587837787126162</v>
          </cell>
          <cell r="BH254">
            <v>23.591067512423535</v>
          </cell>
          <cell r="BI254">
            <v>29.790280188385445</v>
          </cell>
          <cell r="BJ254">
            <v>37.338461847088496</v>
          </cell>
          <cell r="BL254">
            <v>73132.309288512959</v>
          </cell>
        </row>
        <row r="255">
          <cell r="A255">
            <v>10002345</v>
          </cell>
          <cell r="B255">
            <v>0</v>
          </cell>
          <cell r="C255" t="str">
            <v>CP18</v>
          </cell>
          <cell r="D255" t="str">
            <v>RPH</v>
          </cell>
          <cell r="E255">
            <v>38</v>
          </cell>
          <cell r="F255" t="str">
            <v>M</v>
          </cell>
          <cell r="G255">
            <v>35244</v>
          </cell>
          <cell r="H255">
            <v>1</v>
          </cell>
          <cell r="I255">
            <v>35000000</v>
          </cell>
          <cell r="J255">
            <v>1669200</v>
          </cell>
          <cell r="K255">
            <v>1249500</v>
          </cell>
          <cell r="L255">
            <v>1249500</v>
          </cell>
          <cell r="M255">
            <v>18</v>
          </cell>
          <cell r="N255">
            <v>18</v>
          </cell>
          <cell r="O255">
            <v>35000000</v>
          </cell>
          <cell r="P255">
            <v>87500</v>
          </cell>
          <cell r="Q255">
            <v>0</v>
          </cell>
          <cell r="R255">
            <v>0</v>
          </cell>
          <cell r="T255">
            <v>74900</v>
          </cell>
          <cell r="U255">
            <v>57500</v>
          </cell>
          <cell r="W255">
            <v>8752991.2907558978</v>
          </cell>
          <cell r="X255">
            <v>87500</v>
          </cell>
          <cell r="Y255">
            <v>0</v>
          </cell>
          <cell r="Z255">
            <v>115000</v>
          </cell>
          <cell r="AB255">
            <v>883034.6114891303</v>
          </cell>
          <cell r="AC255">
            <v>87500</v>
          </cell>
          <cell r="AD255">
            <v>0</v>
          </cell>
          <cell r="AE255">
            <v>57500</v>
          </cell>
          <cell r="AH255">
            <v>88</v>
          </cell>
          <cell r="AI255">
            <v>84</v>
          </cell>
          <cell r="AJ255">
            <v>1</v>
          </cell>
          <cell r="AK255">
            <v>2.5229560328260865E-2</v>
          </cell>
          <cell r="AL255">
            <v>0</v>
          </cell>
          <cell r="AM255">
            <v>2.066261467004421E-3</v>
          </cell>
          <cell r="AN255">
            <v>2.9106432098173374E-2</v>
          </cell>
          <cell r="AO255">
            <v>5.8545856362217846E-2</v>
          </cell>
          <cell r="AP255">
            <v>9.0601638887209152E-2</v>
          </cell>
          <cell r="AQ255">
            <v>0.12551153214919572</v>
          </cell>
          <cell r="AR255">
            <v>0.16353402799106384</v>
          </cell>
          <cell r="AS255">
            <v>0.2049544436306435</v>
          </cell>
          <cell r="AT255">
            <v>0.25008546545016852</v>
          </cell>
          <cell r="AU255">
            <v>0.2992682412626293</v>
          </cell>
          <cell r="AW255">
            <v>0</v>
          </cell>
          <cell r="AY255">
            <v>1</v>
          </cell>
          <cell r="AZ255">
            <v>0</v>
          </cell>
          <cell r="BA255">
            <v>1</v>
          </cell>
          <cell r="BC255">
            <v>3.1568922875789003</v>
          </cell>
          <cell r="BD255">
            <v>4.4140109286623455</v>
          </cell>
          <cell r="BE255">
            <v>5.3307787720887019</v>
          </cell>
          <cell r="BF255">
            <v>6.6528073521051567</v>
          </cell>
          <cell r="BG255">
            <v>8.4317926123995353</v>
          </cell>
          <cell r="BH255">
            <v>10.725674424548734</v>
          </cell>
          <cell r="BI255">
            <v>13.599332216824898</v>
          </cell>
          <cell r="BJ255">
            <v>17.125320860498181</v>
          </cell>
          <cell r="BL255">
            <v>375398.60485920566</v>
          </cell>
        </row>
        <row r="256">
          <cell r="A256">
            <v>10002345</v>
          </cell>
          <cell r="B256">
            <v>2</v>
          </cell>
          <cell r="C256" t="str">
            <v>E11</v>
          </cell>
          <cell r="D256" t="str">
            <v>RPH</v>
          </cell>
          <cell r="E256">
            <v>38</v>
          </cell>
          <cell r="F256" t="str">
            <v>M</v>
          </cell>
          <cell r="G256">
            <v>35244</v>
          </cell>
          <cell r="H256">
            <v>1</v>
          </cell>
          <cell r="I256">
            <v>3500000</v>
          </cell>
          <cell r="J256">
            <v>257300</v>
          </cell>
          <cell r="K256">
            <v>257300</v>
          </cell>
          <cell r="L256">
            <v>257300</v>
          </cell>
          <cell r="M256">
            <v>11</v>
          </cell>
          <cell r="N256">
            <v>11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T256">
            <v>10300</v>
          </cell>
          <cell r="U256">
            <v>10300</v>
          </cell>
          <cell r="W256">
            <v>2148692.529125473</v>
          </cell>
          <cell r="X256">
            <v>0</v>
          </cell>
          <cell r="Y256">
            <v>0</v>
          </cell>
          <cell r="Z256">
            <v>20600</v>
          </cell>
          <cell r="AB256">
            <v>201768.31973227314</v>
          </cell>
          <cell r="AC256">
            <v>0</v>
          </cell>
          <cell r="AD256">
            <v>0</v>
          </cell>
          <cell r="AE256">
            <v>10300</v>
          </cell>
          <cell r="AH256">
            <v>88</v>
          </cell>
          <cell r="AI256">
            <v>84</v>
          </cell>
          <cell r="AJ256">
            <v>1</v>
          </cell>
          <cell r="AK256">
            <v>5.7648091352078039E-2</v>
          </cell>
          <cell r="AL256">
            <v>0</v>
          </cell>
          <cell r="AM256">
            <v>2.4608642226207178E-2</v>
          </cell>
          <cell r="AN256">
            <v>8.8581485347240529E-2</v>
          </cell>
          <cell r="AO256">
            <v>0.1583080301161538</v>
          </cell>
          <cell r="AP256">
            <v>0.23432269891329205</v>
          </cell>
          <cell r="AQ256">
            <v>0.31721286935182696</v>
          </cell>
          <cell r="AR256">
            <v>0.40762194009907332</v>
          </cell>
          <cell r="AS256">
            <v>0.50626087613812387</v>
          </cell>
          <cell r="AT256">
            <v>0.61391215117870657</v>
          </cell>
          <cell r="AU256">
            <v>0.73143621622007726</v>
          </cell>
          <cell r="AW256">
            <v>0</v>
          </cell>
          <cell r="AY256">
            <v>0</v>
          </cell>
          <cell r="AZ256">
            <v>0</v>
          </cell>
          <cell r="BA256">
            <v>1</v>
          </cell>
          <cell r="BC256">
            <v>6.6085487282522779</v>
          </cell>
          <cell r="BD256">
            <v>10.903122605025946</v>
          </cell>
          <cell r="BE256">
            <v>13.439415941330868</v>
          </cell>
          <cell r="BF256">
            <v>16.929605011185195</v>
          </cell>
          <cell r="BG256">
            <v>21.49776138146175</v>
          </cell>
          <cell r="BH256">
            <v>27.283361562990535</v>
          </cell>
          <cell r="BI256">
            <v>34.44313836131883</v>
          </cell>
          <cell r="BJ256">
            <v>43.153176180400429</v>
          </cell>
          <cell r="BL256">
            <v>95491.765470466868</v>
          </cell>
        </row>
        <row r="257">
          <cell r="A257">
            <v>10002345</v>
          </cell>
          <cell r="B257">
            <v>3</v>
          </cell>
          <cell r="C257" t="str">
            <v>E15</v>
          </cell>
          <cell r="D257" t="str">
            <v>RPH</v>
          </cell>
          <cell r="E257">
            <v>38</v>
          </cell>
          <cell r="F257" t="str">
            <v>M</v>
          </cell>
          <cell r="G257">
            <v>35244</v>
          </cell>
          <cell r="H257">
            <v>1</v>
          </cell>
          <cell r="I257">
            <v>3500000</v>
          </cell>
          <cell r="J257">
            <v>162400</v>
          </cell>
          <cell r="K257">
            <v>162400</v>
          </cell>
          <cell r="L257">
            <v>162400</v>
          </cell>
          <cell r="M257">
            <v>15</v>
          </cell>
          <cell r="N257">
            <v>15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T257">
            <v>7100</v>
          </cell>
          <cell r="U257">
            <v>7100</v>
          </cell>
          <cell r="W257">
            <v>1238549.7338156842</v>
          </cell>
          <cell r="X257">
            <v>0</v>
          </cell>
          <cell r="Y257">
            <v>0</v>
          </cell>
          <cell r="Z257">
            <v>14200</v>
          </cell>
          <cell r="AB257">
            <v>125155.16392064439</v>
          </cell>
          <cell r="AC257">
            <v>0</v>
          </cell>
          <cell r="AD257">
            <v>0</v>
          </cell>
          <cell r="AE257">
            <v>7100</v>
          </cell>
          <cell r="AH257">
            <v>88</v>
          </cell>
          <cell r="AI257">
            <v>84</v>
          </cell>
          <cell r="AJ257">
            <v>1</v>
          </cell>
          <cell r="AK257">
            <v>3.5758618263041254E-2</v>
          </cell>
          <cell r="AL257">
            <v>0</v>
          </cell>
          <cell r="AM257">
            <v>1.8830660908396024E-3</v>
          </cell>
          <cell r="AN257">
            <v>4.0200098154413944E-2</v>
          </cell>
          <cell r="AO257">
            <v>8.1933155952198966E-2</v>
          </cell>
          <cell r="AP257">
            <v>0.1273943602584543</v>
          </cell>
          <cell r="AQ257">
            <v>0.17692599794723149</v>
          </cell>
          <cell r="AR257">
            <v>0.23090123971379317</v>
          </cell>
          <cell r="AS257">
            <v>0.28973221935114413</v>
          </cell>
          <cell r="AT257">
            <v>0.35387135251876695</v>
          </cell>
          <cell r="AU257">
            <v>0.42381370561127912</v>
          </cell>
          <cell r="AW257">
            <v>0</v>
          </cell>
          <cell r="AY257">
            <v>0</v>
          </cell>
          <cell r="AZ257">
            <v>0</v>
          </cell>
          <cell r="BA257">
            <v>1</v>
          </cell>
          <cell r="BC257">
            <v>4.1968924934511564</v>
          </cell>
          <cell r="BD257">
            <v>6.3670962554954338</v>
          </cell>
          <cell r="BE257">
            <v>7.7699325329852176</v>
          </cell>
          <cell r="BF257">
            <v>9.7423834326772312</v>
          </cell>
          <cell r="BG257">
            <v>12.357648984248232</v>
          </cell>
          <cell r="BH257">
            <v>15.697859998610078</v>
          </cell>
          <cell r="BI257">
            <v>19.855102970168502</v>
          </cell>
          <cell r="BJ257">
            <v>24.932535280959602</v>
          </cell>
          <cell r="BL257">
            <v>54942.509995135268</v>
          </cell>
        </row>
        <row r="258">
          <cell r="A258">
            <v>10002349</v>
          </cell>
          <cell r="B258">
            <v>0</v>
          </cell>
          <cell r="C258" t="str">
            <v>CP8</v>
          </cell>
          <cell r="D258" t="str">
            <v>RPH</v>
          </cell>
          <cell r="E258">
            <v>40</v>
          </cell>
          <cell r="F258" t="str">
            <v>M</v>
          </cell>
          <cell r="G258">
            <v>35639</v>
          </cell>
          <cell r="H258">
            <v>1</v>
          </cell>
          <cell r="I258">
            <v>15000000</v>
          </cell>
          <cell r="J258">
            <v>1690500</v>
          </cell>
          <cell r="K258">
            <v>1690500</v>
          </cell>
          <cell r="L258">
            <v>1690500</v>
          </cell>
          <cell r="M258">
            <v>8</v>
          </cell>
          <cell r="N258">
            <v>8</v>
          </cell>
          <cell r="O258">
            <v>15000000</v>
          </cell>
          <cell r="P258">
            <v>37500</v>
          </cell>
          <cell r="Q258">
            <v>0</v>
          </cell>
          <cell r="R258">
            <v>0</v>
          </cell>
          <cell r="T258">
            <v>71000</v>
          </cell>
          <cell r="U258">
            <v>71000</v>
          </cell>
          <cell r="W258">
            <v>12411541.22102675</v>
          </cell>
          <cell r="X258">
            <v>37500</v>
          </cell>
          <cell r="Y258">
            <v>0</v>
          </cell>
          <cell r="Z258">
            <v>142000</v>
          </cell>
          <cell r="AB258">
            <v>1349926.6688815062</v>
          </cell>
          <cell r="AC258">
            <v>37500</v>
          </cell>
          <cell r="AD258">
            <v>0</v>
          </cell>
          <cell r="AE258">
            <v>71000</v>
          </cell>
          <cell r="AH258">
            <v>75</v>
          </cell>
          <cell r="AI258">
            <v>72</v>
          </cell>
          <cell r="AJ258">
            <v>1</v>
          </cell>
          <cell r="AK258">
            <v>8.999511125876708E-2</v>
          </cell>
          <cell r="AL258">
            <v>0</v>
          </cell>
          <cell r="AM258">
            <v>5.8430056428325439E-2</v>
          </cell>
          <cell r="AN258">
            <v>0.16029239852395594</v>
          </cell>
          <cell r="AO258">
            <v>0.27140906786176838</v>
          </cell>
          <cell r="AP258">
            <v>0.39265801343493378</v>
          </cell>
          <cell r="AQ258">
            <v>0.52501176552360507</v>
          </cell>
          <cell r="AR258">
            <v>0.66954328908199279</v>
          </cell>
          <cell r="AS258">
            <v>0.82743608140178337</v>
          </cell>
          <cell r="AT258">
            <v>1</v>
          </cell>
          <cell r="AU258" t="str">
            <v/>
          </cell>
          <cell r="AW258">
            <v>0</v>
          </cell>
          <cell r="AY258">
            <v>1</v>
          </cell>
          <cell r="AZ258">
            <v>0</v>
          </cell>
          <cell r="BA258">
            <v>1</v>
          </cell>
          <cell r="BC258">
            <v>10.172499797374337</v>
          </cell>
          <cell r="BD258">
            <v>18.214099949012208</v>
          </cell>
          <cell r="BE258">
            <v>23.179366090863354</v>
          </cell>
          <cell r="BF258">
            <v>30.022839264588015</v>
          </cell>
          <cell r="BG258">
            <v>38.197372865945724</v>
          </cell>
          <cell r="BH258">
            <v>48.390789936966421</v>
          </cell>
          <cell r="BI258" t="str">
            <v/>
          </cell>
          <cell r="BJ258" t="str">
            <v/>
          </cell>
          <cell r="BL258">
            <v>572960.59298918582</v>
          </cell>
        </row>
        <row r="259">
          <cell r="A259">
            <v>10000036</v>
          </cell>
          <cell r="B259" t="str">
            <v/>
          </cell>
          <cell r="C259" t="str">
            <v>LSPL</v>
          </cell>
          <cell r="D259" t="str">
            <v>RPH</v>
          </cell>
          <cell r="E259">
            <v>28</v>
          </cell>
          <cell r="F259" t="str">
            <v>M</v>
          </cell>
          <cell r="G259">
            <v>34772</v>
          </cell>
          <cell r="H259">
            <v>4</v>
          </cell>
          <cell r="I259">
            <v>100000000</v>
          </cell>
          <cell r="J259">
            <v>190800</v>
          </cell>
          <cell r="K259">
            <v>190800</v>
          </cell>
          <cell r="L259">
            <v>763200</v>
          </cell>
          <cell r="M259">
            <v>20</v>
          </cell>
          <cell r="N259">
            <v>57</v>
          </cell>
          <cell r="O259">
            <v>150000000</v>
          </cell>
          <cell r="P259">
            <v>397600</v>
          </cell>
          <cell r="Q259">
            <v>0</v>
          </cell>
          <cell r="R259">
            <v>0</v>
          </cell>
          <cell r="T259">
            <v>0</v>
          </cell>
          <cell r="U259">
            <v>0</v>
          </cell>
          <cell r="W259">
            <v>4113269.3983629434</v>
          </cell>
          <cell r="X259">
            <v>397600</v>
          </cell>
          <cell r="Y259">
            <v>0</v>
          </cell>
          <cell r="Z259">
            <v>0</v>
          </cell>
          <cell r="AB259">
            <v>528438.49101034447</v>
          </cell>
          <cell r="AC259">
            <v>397600</v>
          </cell>
          <cell r="AD259">
            <v>0</v>
          </cell>
          <cell r="AE259">
            <v>0</v>
          </cell>
          <cell r="AH259">
            <v>103</v>
          </cell>
          <cell r="AI259">
            <v>96</v>
          </cell>
          <cell r="AJ259">
            <v>3</v>
          </cell>
          <cell r="AK259">
            <v>5.2843849101034445E-3</v>
          </cell>
          <cell r="AL259">
            <v>0</v>
          </cell>
          <cell r="AM259">
            <v>1.3877787807814457E-17</v>
          </cell>
          <cell r="AN259">
            <v>4.0469402893103523E-3</v>
          </cell>
          <cell r="AO259">
            <v>8.4359073051450267E-3</v>
          </cell>
          <cell r="AP259">
            <v>1.3178840427390183E-2</v>
          </cell>
          <cell r="AQ259">
            <v>1.8289116265284101E-2</v>
          </cell>
          <cell r="AR259">
            <v>2.3791509725136474E-2</v>
          </cell>
          <cell r="AS259">
            <v>2.9703617568426779E-2</v>
          </cell>
          <cell r="AT259">
            <v>3.6045140656823238E-2</v>
          </cell>
          <cell r="AU259">
            <v>4.2828545092564833E-2</v>
          </cell>
          <cell r="AW259">
            <v>0</v>
          </cell>
          <cell r="AY259">
            <v>1</v>
          </cell>
          <cell r="AZ259">
            <v>0</v>
          </cell>
          <cell r="BA259">
            <v>0</v>
          </cell>
          <cell r="BC259">
            <v>0.18212293987714914</v>
          </cell>
          <cell r="BD259">
            <v>0.22765367484643642</v>
          </cell>
          <cell r="BE259">
            <v>0.33639436440006404</v>
          </cell>
          <cell r="BF259">
            <v>0.49970707248572477</v>
          </cell>
          <cell r="BG259">
            <v>0.72410238230045654</v>
          </cell>
          <cell r="BH259">
            <v>1.0163493776507031</v>
          </cell>
          <cell r="BI259">
            <v>1.3837387330053013</v>
          </cell>
          <cell r="BJ259">
            <v>1.833642330012089</v>
          </cell>
          <cell r="BL259">
            <v>138373.87330053013</v>
          </cell>
        </row>
        <row r="260">
          <cell r="A260">
            <v>10000047</v>
          </cell>
          <cell r="B260" t="str">
            <v/>
          </cell>
          <cell r="C260" t="str">
            <v>LSPL</v>
          </cell>
          <cell r="D260" t="str">
            <v>RPH</v>
          </cell>
          <cell r="E260">
            <v>37</v>
          </cell>
          <cell r="F260" t="str">
            <v>M</v>
          </cell>
          <cell r="G260">
            <v>34656</v>
          </cell>
          <cell r="H260">
            <v>4</v>
          </cell>
          <cell r="I260">
            <v>51500000</v>
          </cell>
          <cell r="J260">
            <v>159700</v>
          </cell>
          <cell r="K260">
            <v>159700</v>
          </cell>
          <cell r="L260">
            <v>638800</v>
          </cell>
          <cell r="M260">
            <v>20</v>
          </cell>
          <cell r="N260">
            <v>48</v>
          </cell>
          <cell r="O260">
            <v>51500000</v>
          </cell>
          <cell r="P260">
            <v>136400</v>
          </cell>
          <cell r="Q260">
            <v>0</v>
          </cell>
          <cell r="R260">
            <v>0</v>
          </cell>
          <cell r="T260">
            <v>8200</v>
          </cell>
          <cell r="U260">
            <v>32800</v>
          </cell>
          <cell r="W260">
            <v>3735582.579702449</v>
          </cell>
          <cell r="X260">
            <v>136400</v>
          </cell>
          <cell r="Y260">
            <v>0</v>
          </cell>
          <cell r="Z260">
            <v>65600</v>
          </cell>
          <cell r="AB260">
            <v>469564.692262039</v>
          </cell>
          <cell r="AC260">
            <v>136400</v>
          </cell>
          <cell r="AD260">
            <v>0</v>
          </cell>
          <cell r="AE260">
            <v>32800</v>
          </cell>
          <cell r="AH260">
            <v>107</v>
          </cell>
          <cell r="AI260">
            <v>96</v>
          </cell>
          <cell r="AJ260">
            <v>4</v>
          </cell>
          <cell r="AK260">
            <v>9.1177610147968741E-3</v>
          </cell>
          <cell r="AL260">
            <v>0</v>
          </cell>
          <cell r="AM260">
            <v>0</v>
          </cell>
          <cell r="AN260">
            <v>7.2778641821367313E-3</v>
          </cell>
          <cell r="AO260">
            <v>1.5014774310157034E-2</v>
          </cell>
          <cell r="AP260">
            <v>2.3227630540402153E-2</v>
          </cell>
          <cell r="AQ260">
            <v>3.1945731195856822E-2</v>
          </cell>
          <cell r="AR260">
            <v>4.1202066175122259E-2</v>
          </cell>
          <cell r="AS260">
            <v>5.1024239321477427E-2</v>
          </cell>
          <cell r="AT260">
            <v>6.1453331424865726E-2</v>
          </cell>
          <cell r="AU260">
            <v>7.2535584071892215E-2</v>
          </cell>
          <cell r="AW260">
            <v>0</v>
          </cell>
          <cell r="AY260">
            <v>1</v>
          </cell>
          <cell r="AZ260">
            <v>0</v>
          </cell>
          <cell r="BA260">
            <v>1</v>
          </cell>
          <cell r="BC260">
            <v>0.27031789940364032</v>
          </cell>
          <cell r="BD260">
            <v>0.33789737425455041</v>
          </cell>
          <cell r="BE260">
            <v>0.53432772104243442</v>
          </cell>
          <cell r="BF260">
            <v>0.82515877544121263</v>
          </cell>
          <cell r="BG260">
            <v>1.2196517086985799</v>
          </cell>
          <cell r="BH260">
            <v>1.7276236804825027</v>
          </cell>
          <cell r="BI260">
            <v>2.3602391760373296</v>
          </cell>
          <cell r="BJ260">
            <v>3.1299480473973644</v>
          </cell>
          <cell r="BL260">
            <v>121552.31756592247</v>
          </cell>
        </row>
        <row r="261">
          <cell r="A261">
            <v>10000050</v>
          </cell>
          <cell r="B261" t="str">
            <v/>
          </cell>
          <cell r="C261" t="str">
            <v>LSPU</v>
          </cell>
          <cell r="D261" t="str">
            <v>RPH</v>
          </cell>
          <cell r="E261">
            <v>33</v>
          </cell>
          <cell r="F261" t="str">
            <v>M</v>
          </cell>
          <cell r="G261">
            <v>34668</v>
          </cell>
          <cell r="H261">
            <v>1</v>
          </cell>
          <cell r="I261">
            <v>100000000</v>
          </cell>
          <cell r="J261">
            <v>780000</v>
          </cell>
          <cell r="K261">
            <v>780000</v>
          </cell>
          <cell r="L261">
            <v>780000</v>
          </cell>
          <cell r="M261">
            <v>52</v>
          </cell>
          <cell r="N261">
            <v>52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T261">
            <v>39800</v>
          </cell>
          <cell r="U261">
            <v>39800</v>
          </cell>
          <cell r="W261">
            <v>4486100.0016213348</v>
          </cell>
          <cell r="X261">
            <v>0</v>
          </cell>
          <cell r="Y261">
            <v>0</v>
          </cell>
          <cell r="Z261">
            <v>79600</v>
          </cell>
          <cell r="AB261">
            <v>602664.19141419942</v>
          </cell>
          <cell r="AC261">
            <v>0</v>
          </cell>
          <cell r="AD261">
            <v>0</v>
          </cell>
          <cell r="AE261">
            <v>39800</v>
          </cell>
          <cell r="AH261">
            <v>107</v>
          </cell>
          <cell r="AI261">
            <v>96</v>
          </cell>
          <cell r="AJ261">
            <v>1</v>
          </cell>
          <cell r="AK261">
            <v>6.026641914141994E-3</v>
          </cell>
          <cell r="AL261">
            <v>0</v>
          </cell>
          <cell r="AM261">
            <v>0</v>
          </cell>
          <cell r="AN261">
            <v>4.5283227480483051E-3</v>
          </cell>
          <cell r="AO261">
            <v>9.3552122924621256E-3</v>
          </cell>
          <cell r="AP261">
            <v>1.4479814254268433E-2</v>
          </cell>
          <cell r="AQ261">
            <v>1.9911617150271496E-2</v>
          </cell>
          <cell r="AR261">
            <v>2.5661475133568631E-2</v>
          </cell>
          <cell r="AS261">
            <v>3.1732070586706004E-2</v>
          </cell>
          <cell r="AT261">
            <v>3.8127096981415753E-2</v>
          </cell>
          <cell r="AU261">
            <v>4.4861000016213348E-2</v>
          </cell>
          <cell r="AW261">
            <v>0</v>
          </cell>
          <cell r="AY261">
            <v>0</v>
          </cell>
          <cell r="AZ261">
            <v>0</v>
          </cell>
          <cell r="BA261">
            <v>1</v>
          </cell>
          <cell r="BC261">
            <v>0.19201982232333797</v>
          </cell>
          <cell r="BD261">
            <v>0.24002477790417245</v>
          </cell>
          <cell r="BE261">
            <v>0.3593372004123479</v>
          </cell>
          <cell r="BF261">
            <v>0.53563899624417111</v>
          </cell>
          <cell r="BG261">
            <v>0.77399526377243744</v>
          </cell>
          <cell r="BH261">
            <v>1.079369046819137</v>
          </cell>
          <cell r="BI261">
            <v>1.4568459090879879</v>
          </cell>
          <cell r="BJ261">
            <v>1.9121906475567192</v>
          </cell>
          <cell r="BL261">
            <v>145684.5909087988</v>
          </cell>
        </row>
        <row r="262">
          <cell r="A262">
            <v>10000122</v>
          </cell>
          <cell r="B262" t="str">
            <v/>
          </cell>
          <cell r="C262" t="str">
            <v>LSPL</v>
          </cell>
          <cell r="D262" t="str">
            <v>RPH</v>
          </cell>
          <cell r="E262">
            <v>34</v>
          </cell>
          <cell r="F262" t="str">
            <v>M</v>
          </cell>
          <cell r="G262">
            <v>34709</v>
          </cell>
          <cell r="H262">
            <v>1</v>
          </cell>
          <cell r="I262">
            <v>100000000</v>
          </cell>
          <cell r="J262">
            <v>980000</v>
          </cell>
          <cell r="K262">
            <v>980000</v>
          </cell>
          <cell r="L262">
            <v>980000</v>
          </cell>
          <cell r="M262">
            <v>20</v>
          </cell>
          <cell r="N262">
            <v>51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T262">
            <v>0</v>
          </cell>
          <cell r="U262">
            <v>0</v>
          </cell>
          <cell r="W262">
            <v>6149529.095298117</v>
          </cell>
          <cell r="X262">
            <v>0</v>
          </cell>
          <cell r="Y262">
            <v>0</v>
          </cell>
          <cell r="Z262">
            <v>0</v>
          </cell>
          <cell r="AB262">
            <v>756498.15788505808</v>
          </cell>
          <cell r="AC262">
            <v>0</v>
          </cell>
          <cell r="AD262">
            <v>0</v>
          </cell>
          <cell r="AE262">
            <v>0</v>
          </cell>
          <cell r="AH262">
            <v>105</v>
          </cell>
          <cell r="AI262">
            <v>96</v>
          </cell>
          <cell r="AJ262">
            <v>1</v>
          </cell>
          <cell r="AK262">
            <v>7.5649815788505813E-3</v>
          </cell>
          <cell r="AL262">
            <v>0</v>
          </cell>
          <cell r="AM262">
            <v>0</v>
          </cell>
          <cell r="AN262">
            <v>6.0890431445708992E-3</v>
          </cell>
          <cell r="AO262">
            <v>1.2592100621972427E-2</v>
          </cell>
          <cell r="AP262">
            <v>1.9529848922714643E-2</v>
          </cell>
          <cell r="AQ262">
            <v>2.6925525655462745E-2</v>
          </cell>
          <cell r="AR262">
            <v>3.4795560009428891E-2</v>
          </cell>
          <cell r="AS262">
            <v>4.3158940995359954E-2</v>
          </cell>
          <cell r="AT262">
            <v>5.2047076607888473E-2</v>
          </cell>
          <cell r="AU262">
            <v>6.1495290952981167E-2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C262">
            <v>0.23934822163458114</v>
          </cell>
          <cell r="BD262">
            <v>0.29918527704322639</v>
          </cell>
          <cell r="BE262">
            <v>0.46314359605487421</v>
          </cell>
          <cell r="BF262">
            <v>0.70686391223768186</v>
          </cell>
          <cell r="BG262">
            <v>1.0381313905214216</v>
          </cell>
          <cell r="BH262">
            <v>1.4652513139076275</v>
          </cell>
          <cell r="BI262">
            <v>1.9976112274484417</v>
          </cell>
          <cell r="BJ262">
            <v>2.6455744458382329</v>
          </cell>
          <cell r="BL262">
            <v>199761.12274484418</v>
          </cell>
        </row>
        <row r="263">
          <cell r="A263">
            <v>10000125</v>
          </cell>
          <cell r="B263" t="str">
            <v/>
          </cell>
          <cell r="C263" t="str">
            <v>LSPL</v>
          </cell>
          <cell r="D263" t="str">
            <v>RPH</v>
          </cell>
          <cell r="E263">
            <v>38</v>
          </cell>
          <cell r="F263" t="str">
            <v>M</v>
          </cell>
          <cell r="G263">
            <v>34784</v>
          </cell>
          <cell r="H263">
            <v>12</v>
          </cell>
          <cell r="I263">
            <v>50000000</v>
          </cell>
          <cell r="J263">
            <v>58900</v>
          </cell>
          <cell r="K263">
            <v>58900</v>
          </cell>
          <cell r="L263">
            <v>706800</v>
          </cell>
          <cell r="M263">
            <v>20</v>
          </cell>
          <cell r="N263">
            <v>47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T263">
            <v>3300</v>
          </cell>
          <cell r="U263">
            <v>39600</v>
          </cell>
          <cell r="W263">
            <v>3632532.4731002133</v>
          </cell>
          <cell r="X263">
            <v>0</v>
          </cell>
          <cell r="Y263">
            <v>0</v>
          </cell>
          <cell r="Z263">
            <v>79200</v>
          </cell>
          <cell r="AB263">
            <v>485202.15023120196</v>
          </cell>
          <cell r="AC263">
            <v>0</v>
          </cell>
          <cell r="AD263">
            <v>0</v>
          </cell>
          <cell r="AE263">
            <v>39600</v>
          </cell>
          <cell r="AH263">
            <v>103</v>
          </cell>
          <cell r="AI263">
            <v>96</v>
          </cell>
          <cell r="AJ263">
            <v>8</v>
          </cell>
          <cell r="AK263">
            <v>9.7040430046240397E-3</v>
          </cell>
          <cell r="AL263">
            <v>0</v>
          </cell>
          <cell r="AM263">
            <v>0</v>
          </cell>
          <cell r="AN263">
            <v>7.6997361097585204E-3</v>
          </cell>
          <cell r="AO263">
            <v>1.5870110081433492E-2</v>
          </cell>
          <cell r="AP263">
            <v>2.4539752818441854E-2</v>
          </cell>
          <cell r="AQ263">
            <v>3.3740916246416008E-2</v>
          </cell>
          <cell r="AR263">
            <v>4.3500311840350261E-2</v>
          </cell>
          <cell r="AS263">
            <v>5.3858106707333056E-2</v>
          </cell>
          <cell r="AT263">
            <v>6.48595287570541E-2</v>
          </cell>
          <cell r="AU263">
            <v>7.6546209814479349E-2</v>
          </cell>
          <cell r="AW263">
            <v>0</v>
          </cell>
          <cell r="AY263">
            <v>0</v>
          </cell>
          <cell r="AZ263">
            <v>0</v>
          </cell>
          <cell r="BA263">
            <v>1</v>
          </cell>
          <cell r="BC263">
            <v>0.28036468454822633</v>
          </cell>
          <cell r="BD263">
            <v>0.35045585568528287</v>
          </cell>
          <cell r="BE263">
            <v>0.55858595202169659</v>
          </cell>
          <cell r="BF263">
            <v>0.86669578266677849</v>
          </cell>
          <cell r="BG263">
            <v>1.2842681334272097</v>
          </cell>
          <cell r="BH263">
            <v>1.8220313416857772</v>
          </cell>
          <cell r="BI263">
            <v>2.4919361459161675</v>
          </cell>
          <cell r="BJ263">
            <v>3.3068439446859066</v>
          </cell>
          <cell r="BL263">
            <v>124596.80729580838</v>
          </cell>
        </row>
        <row r="264">
          <cell r="A264">
            <v>10000150</v>
          </cell>
          <cell r="B264" t="str">
            <v/>
          </cell>
          <cell r="C264" t="str">
            <v>LSPL</v>
          </cell>
          <cell r="D264" t="str">
            <v>RPH</v>
          </cell>
          <cell r="E264">
            <v>27</v>
          </cell>
          <cell r="F264" t="str">
            <v>M</v>
          </cell>
          <cell r="G264">
            <v>34731</v>
          </cell>
          <cell r="H264">
            <v>1</v>
          </cell>
          <cell r="I264">
            <v>100000000</v>
          </cell>
          <cell r="J264">
            <v>790000</v>
          </cell>
          <cell r="K264">
            <v>790000</v>
          </cell>
          <cell r="L264">
            <v>790000</v>
          </cell>
          <cell r="M264">
            <v>20</v>
          </cell>
          <cell r="N264">
            <v>58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T264">
            <v>20000</v>
          </cell>
          <cell r="U264">
            <v>20000</v>
          </cell>
          <cell r="W264">
            <v>4010971.5258677867</v>
          </cell>
          <cell r="X264">
            <v>0</v>
          </cell>
          <cell r="Y264">
            <v>0</v>
          </cell>
          <cell r="Z264">
            <v>40000</v>
          </cell>
          <cell r="AB264">
            <v>499852.54414663272</v>
          </cell>
          <cell r="AC264">
            <v>0</v>
          </cell>
          <cell r="AD264">
            <v>0</v>
          </cell>
          <cell r="AE264">
            <v>20000</v>
          </cell>
          <cell r="AH264">
            <v>104</v>
          </cell>
          <cell r="AI264">
            <v>96</v>
          </cell>
          <cell r="AJ264">
            <v>1</v>
          </cell>
          <cell r="AK264">
            <v>4.9985254414663272E-3</v>
          </cell>
          <cell r="AL264">
            <v>0</v>
          </cell>
          <cell r="AM264">
            <v>2.7755575615628914E-17</v>
          </cell>
          <cell r="AN264">
            <v>3.7547758501435963E-3</v>
          </cell>
          <cell r="AO264">
            <v>7.8345738749195509E-3</v>
          </cell>
          <cell r="AP264">
            <v>1.225953243662474E-2</v>
          </cell>
          <cell r="AQ264">
            <v>1.7041958612622012E-2</v>
          </cell>
          <cell r="AR264">
            <v>2.219563345351426E-2</v>
          </cell>
          <cell r="AS264">
            <v>2.7745737383426554E-2</v>
          </cell>
          <cell r="AT264">
            <v>3.3710352702172687E-2</v>
          </cell>
          <cell r="AU264">
            <v>4.0109715258677868E-2</v>
          </cell>
          <cell r="AW264">
            <v>0</v>
          </cell>
          <cell r="AY264">
            <v>0</v>
          </cell>
          <cell r="AZ264">
            <v>0</v>
          </cell>
          <cell r="BA264">
            <v>1</v>
          </cell>
          <cell r="BC264">
            <v>0.17440112442562727</v>
          </cell>
          <cell r="BD264">
            <v>0.21800140553203409</v>
          </cell>
          <cell r="BE264">
            <v>0.31882952388352087</v>
          </cell>
          <cell r="BF264">
            <v>0.47072642977287493</v>
          </cell>
          <cell r="BG264">
            <v>0.67961340454806074</v>
          </cell>
          <cell r="BH264">
            <v>0.95222804544529027</v>
          </cell>
          <cell r="BI264">
            <v>1.295543838872897</v>
          </cell>
          <cell r="BJ264">
            <v>1.7170840605988862</v>
          </cell>
          <cell r="BL264">
            <v>129554.3838872897</v>
          </cell>
        </row>
        <row r="265">
          <cell r="A265">
            <v>10000183</v>
          </cell>
          <cell r="B265" t="str">
            <v/>
          </cell>
          <cell r="C265" t="str">
            <v>LSPL</v>
          </cell>
          <cell r="D265" t="str">
            <v>RPH</v>
          </cell>
          <cell r="E265">
            <v>39</v>
          </cell>
          <cell r="F265" t="str">
            <v>M</v>
          </cell>
          <cell r="G265">
            <v>34786</v>
          </cell>
          <cell r="H265">
            <v>1</v>
          </cell>
          <cell r="I265">
            <v>100000000</v>
          </cell>
          <cell r="J265">
            <v>1310000</v>
          </cell>
          <cell r="K265">
            <v>1310000</v>
          </cell>
          <cell r="L265">
            <v>1310000</v>
          </cell>
          <cell r="M265">
            <v>20</v>
          </cell>
          <cell r="N265">
            <v>46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T265">
            <v>90000</v>
          </cell>
          <cell r="U265">
            <v>90000</v>
          </cell>
          <cell r="W265">
            <v>8075736.4882985754</v>
          </cell>
          <cell r="X265">
            <v>0</v>
          </cell>
          <cell r="Y265">
            <v>0</v>
          </cell>
          <cell r="Z265">
            <v>180000</v>
          </cell>
          <cell r="AB265">
            <v>1032666.1652089328</v>
          </cell>
          <cell r="AC265">
            <v>0</v>
          </cell>
          <cell r="AD265">
            <v>0</v>
          </cell>
          <cell r="AE265">
            <v>90000</v>
          </cell>
          <cell r="AH265">
            <v>103</v>
          </cell>
          <cell r="AI265">
            <v>96</v>
          </cell>
          <cell r="AJ265">
            <v>1</v>
          </cell>
          <cell r="AK265">
            <v>1.0326661652089328E-2</v>
          </cell>
          <cell r="AL265">
            <v>0</v>
          </cell>
          <cell r="AM265">
            <v>0</v>
          </cell>
          <cell r="AN265">
            <v>8.1316759801147165E-3</v>
          </cell>
          <cell r="AO265">
            <v>1.6756896605493288E-2</v>
          </cell>
          <cell r="AP265">
            <v>2.5907194191214344E-2</v>
          </cell>
          <cell r="AQ265">
            <v>3.5608404740304453E-2</v>
          </cell>
          <cell r="AR265">
            <v>4.5899804513432937E-2</v>
          </cell>
          <cell r="AS265">
            <v>5.6825633366241621E-2</v>
          </cell>
          <cell r="AT265">
            <v>6.8426344453583046E-2</v>
          </cell>
          <cell r="AU265">
            <v>8.0757364882985752E-2</v>
          </cell>
          <cell r="AW265">
            <v>0</v>
          </cell>
          <cell r="AY265">
            <v>0</v>
          </cell>
          <cell r="AZ265">
            <v>0</v>
          </cell>
          <cell r="BA265">
            <v>1</v>
          </cell>
          <cell r="BC265">
            <v>0.29046883359110875</v>
          </cell>
          <cell r="BD265">
            <v>0.36308604198888594</v>
          </cell>
          <cell r="BE265">
            <v>0.58358118450562246</v>
          </cell>
          <cell r="BF265">
            <v>0.90968294226468926</v>
          </cell>
          <cell r="BG265">
            <v>1.3517032690449255</v>
          </cell>
          <cell r="BH265">
            <v>1.9211159778883737</v>
          </cell>
          <cell r="BI265">
            <v>2.6302834282505394</v>
          </cell>
          <cell r="BJ265">
            <v>3.4933999164437664</v>
          </cell>
          <cell r="BL265">
            <v>263028.34282505396</v>
          </cell>
        </row>
        <row r="266">
          <cell r="A266">
            <v>10000185</v>
          </cell>
          <cell r="B266" t="str">
            <v/>
          </cell>
          <cell r="C266" t="str">
            <v>LSPL</v>
          </cell>
          <cell r="D266" t="str">
            <v>RPH</v>
          </cell>
          <cell r="E266">
            <v>30</v>
          </cell>
          <cell r="F266" t="str">
            <v>M</v>
          </cell>
          <cell r="G266">
            <v>34759</v>
          </cell>
          <cell r="H266">
            <v>2</v>
          </cell>
          <cell r="I266">
            <v>83500000</v>
          </cell>
          <cell r="J266">
            <v>343000</v>
          </cell>
          <cell r="K266">
            <v>343000</v>
          </cell>
          <cell r="L266">
            <v>686000</v>
          </cell>
          <cell r="M266">
            <v>20</v>
          </cell>
          <cell r="N266">
            <v>55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T266">
            <v>0</v>
          </cell>
          <cell r="U266">
            <v>0</v>
          </cell>
          <cell r="W266">
            <v>4058113.6809006887</v>
          </cell>
          <cell r="X266">
            <v>0</v>
          </cell>
          <cell r="Y266">
            <v>0</v>
          </cell>
          <cell r="Z266">
            <v>0</v>
          </cell>
          <cell r="AB266">
            <v>495388.94916987605</v>
          </cell>
          <cell r="AC266">
            <v>0</v>
          </cell>
          <cell r="AD266">
            <v>0</v>
          </cell>
          <cell r="AE266">
            <v>0</v>
          </cell>
          <cell r="AH266">
            <v>103</v>
          </cell>
          <cell r="AI266">
            <v>96</v>
          </cell>
          <cell r="AJ266">
            <v>2</v>
          </cell>
          <cell r="AK266">
            <v>5.9328017864655816E-3</v>
          </cell>
          <cell r="AL266">
            <v>0</v>
          </cell>
          <cell r="AM266">
            <v>6.9388939039072284E-18</v>
          </cell>
          <cell r="AN266">
            <v>4.6751692519008542E-3</v>
          </cell>
          <cell r="AO266">
            <v>9.7108477170502333E-3</v>
          </cell>
          <cell r="AP266">
            <v>1.5131083571797189E-2</v>
          </cell>
          <cell r="AQ266">
            <v>2.0952587845589919E-2</v>
          </cell>
          <cell r="AR266">
            <v>2.7194085865268162E-2</v>
          </cell>
          <cell r="AS266">
            <v>3.3866878698971398E-2</v>
          </cell>
          <cell r="AT266">
            <v>4.0993726107133061E-2</v>
          </cell>
          <cell r="AU266">
            <v>4.8600163843122018E-2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C266">
            <v>0.19916295712615442</v>
          </cell>
          <cell r="BD266">
            <v>0.24895369640769302</v>
          </cell>
          <cell r="BE266">
            <v>0.37462322208691795</v>
          </cell>
          <cell r="BF266">
            <v>0.56278017871800523</v>
          </cell>
          <cell r="BG266">
            <v>0.82029274592250911</v>
          </cell>
          <cell r="BH266">
            <v>1.15415171307736</v>
          </cell>
          <cell r="BI266">
            <v>1.5721941569706761</v>
          </cell>
          <cell r="BJ266">
            <v>2.0829566608042196</v>
          </cell>
          <cell r="BL266">
            <v>131278.21210705145</v>
          </cell>
        </row>
        <row r="267">
          <cell r="A267">
            <v>10000193</v>
          </cell>
          <cell r="B267" t="str">
            <v/>
          </cell>
          <cell r="C267" t="str">
            <v>LSPU</v>
          </cell>
          <cell r="D267" t="str">
            <v>RPH</v>
          </cell>
          <cell r="E267">
            <v>49</v>
          </cell>
          <cell r="F267" t="str">
            <v>F</v>
          </cell>
          <cell r="G267">
            <v>34755</v>
          </cell>
          <cell r="H267">
            <v>1</v>
          </cell>
          <cell r="I267">
            <v>40000000</v>
          </cell>
          <cell r="J267">
            <v>692000</v>
          </cell>
          <cell r="K267">
            <v>692000</v>
          </cell>
          <cell r="L267">
            <v>692000</v>
          </cell>
          <cell r="M267">
            <v>36</v>
          </cell>
          <cell r="N267">
            <v>36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T267">
            <v>0</v>
          </cell>
          <cell r="U267">
            <v>0</v>
          </cell>
          <cell r="W267">
            <v>3547230.7517660242</v>
          </cell>
          <cell r="X267">
            <v>0</v>
          </cell>
          <cell r="Y267">
            <v>0</v>
          </cell>
          <cell r="Z267">
            <v>0</v>
          </cell>
          <cell r="AB267">
            <v>554475.96083317511</v>
          </cell>
          <cell r="AC267">
            <v>0</v>
          </cell>
          <cell r="AD267">
            <v>0</v>
          </cell>
          <cell r="AE267">
            <v>0</v>
          </cell>
          <cell r="AH267">
            <v>104</v>
          </cell>
          <cell r="AI267">
            <v>96</v>
          </cell>
          <cell r="AJ267">
            <v>1</v>
          </cell>
          <cell r="AK267">
            <v>1.3861899020829379E-2</v>
          </cell>
          <cell r="AL267">
            <v>0</v>
          </cell>
          <cell r="AM267">
            <v>5.5511151231257827E-17</v>
          </cell>
          <cell r="AN267">
            <v>9.2646265973149178E-3</v>
          </cell>
          <cell r="AO267">
            <v>1.9003107579215861E-2</v>
          </cell>
          <cell r="AP267">
            <v>2.9213744365690991E-2</v>
          </cell>
          <cell r="AQ267">
            <v>3.9908258181585471E-2</v>
          </cell>
          <cell r="AR267">
            <v>5.1134785624388335E-2</v>
          </cell>
          <cell r="AS267">
            <v>6.2947502233363456E-2</v>
          </cell>
          <cell r="AT267">
            <v>7.5428844098634901E-2</v>
          </cell>
          <cell r="AU267">
            <v>8.86807687941506E-2</v>
          </cell>
          <cell r="AW267">
            <v>0</v>
          </cell>
          <cell r="AY267">
            <v>0</v>
          </cell>
          <cell r="AZ267">
            <v>0</v>
          </cell>
          <cell r="BA267">
            <v>0</v>
          </cell>
          <cell r="BC267">
            <v>0.20360197688777482</v>
          </cell>
          <cell r="BD267">
            <v>0.25450247110971852</v>
          </cell>
          <cell r="BE267">
            <v>0.50200116866573863</v>
          </cell>
          <cell r="BF267">
            <v>0.86366575460232275</v>
          </cell>
          <cell r="BG267">
            <v>1.3489701292276532</v>
          </cell>
          <cell r="BH267">
            <v>1.9687567385104834</v>
          </cell>
          <cell r="BI267">
            <v>2.7365202339120027</v>
          </cell>
          <cell r="BJ267">
            <v>3.6687465805917783</v>
          </cell>
          <cell r="BL267">
            <v>109460.80935648011</v>
          </cell>
        </row>
        <row r="268">
          <cell r="A268">
            <v>10000200</v>
          </cell>
          <cell r="B268" t="str">
            <v/>
          </cell>
          <cell r="C268" t="str">
            <v>LSPL</v>
          </cell>
          <cell r="D268" t="str">
            <v>RPH</v>
          </cell>
          <cell r="E268">
            <v>25</v>
          </cell>
          <cell r="F268" t="str">
            <v>M</v>
          </cell>
          <cell r="G268">
            <v>34751</v>
          </cell>
          <cell r="H268">
            <v>4</v>
          </cell>
          <cell r="I268">
            <v>100000000</v>
          </cell>
          <cell r="J268">
            <v>167000</v>
          </cell>
          <cell r="K268">
            <v>167000</v>
          </cell>
          <cell r="L268">
            <v>668000</v>
          </cell>
          <cell r="M268">
            <v>20</v>
          </cell>
          <cell r="N268">
            <v>60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T268">
            <v>5300</v>
          </cell>
          <cell r="U268">
            <v>21200</v>
          </cell>
          <cell r="W268">
            <v>3356305.0560540929</v>
          </cell>
          <cell r="X268">
            <v>0</v>
          </cell>
          <cell r="Y268">
            <v>0</v>
          </cell>
          <cell r="Z268">
            <v>42400</v>
          </cell>
          <cell r="AB268">
            <v>450148.05841427622</v>
          </cell>
          <cell r="AC268">
            <v>0</v>
          </cell>
          <cell r="AD268">
            <v>0</v>
          </cell>
          <cell r="AE268">
            <v>21200</v>
          </cell>
          <cell r="AH268">
            <v>104</v>
          </cell>
          <cell r="AI268">
            <v>96</v>
          </cell>
          <cell r="AJ268">
            <v>3</v>
          </cell>
          <cell r="AK268">
            <v>4.5014805841427624E-3</v>
          </cell>
          <cell r="AL268">
            <v>0</v>
          </cell>
          <cell r="AM268">
            <v>1.3877787807814457E-17</v>
          </cell>
          <cell r="AN268">
            <v>3.1921042560360061E-3</v>
          </cell>
          <cell r="AO268">
            <v>6.6874430033306009E-3</v>
          </cell>
          <cell r="AP268">
            <v>1.0513800170636009E-2</v>
          </cell>
          <cell r="AQ268">
            <v>1.4671891676392206E-2</v>
          </cell>
          <cell r="AR268">
            <v>1.9182545218114758E-2</v>
          </cell>
          <cell r="AS268">
            <v>2.4058894133901762E-2</v>
          </cell>
          <cell r="AT268">
            <v>2.9315628668278158E-2</v>
          </cell>
          <cell r="AU268">
            <v>3.4978857857961849E-2</v>
          </cell>
          <cell r="AW268">
            <v>0</v>
          </cell>
          <cell r="AY268">
            <v>0</v>
          </cell>
          <cell r="AZ268">
            <v>0</v>
          </cell>
          <cell r="BA268">
            <v>1</v>
          </cell>
          <cell r="BC268">
            <v>0.16065116640341157</v>
          </cell>
          <cell r="BD268">
            <v>0.20081395800426444</v>
          </cell>
          <cell r="BE268">
            <v>0.28679514188965249</v>
          </cell>
          <cell r="BF268">
            <v>0.41704105037921058</v>
          </cell>
          <cell r="BG268">
            <v>0.59729575859169948</v>
          </cell>
          <cell r="BH268">
            <v>0.83344297923457544</v>
          </cell>
          <cell r="BI268">
            <v>1.131750752152866</v>
          </cell>
          <cell r="BJ268">
            <v>1.4994529731220798</v>
          </cell>
          <cell r="BL268">
            <v>113175.0752152866</v>
          </cell>
        </row>
        <row r="269">
          <cell r="A269">
            <v>10000231</v>
          </cell>
          <cell r="B269" t="str">
            <v/>
          </cell>
          <cell r="C269" t="str">
            <v>LSPU</v>
          </cell>
          <cell r="D269" t="str">
            <v>RPH</v>
          </cell>
          <cell r="E269">
            <v>28</v>
          </cell>
          <cell r="F269" t="str">
            <v>M</v>
          </cell>
          <cell r="G269">
            <v>34774</v>
          </cell>
          <cell r="H269">
            <v>4</v>
          </cell>
          <cell r="I269">
            <v>100000000</v>
          </cell>
          <cell r="J269">
            <v>159000</v>
          </cell>
          <cell r="K269">
            <v>159000</v>
          </cell>
          <cell r="L269">
            <v>636000</v>
          </cell>
          <cell r="M269">
            <v>57</v>
          </cell>
          <cell r="N269">
            <v>57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U269">
            <v>0</v>
          </cell>
          <cell r="W269">
            <v>3108452.0234953961</v>
          </cell>
          <cell r="X269">
            <v>0</v>
          </cell>
          <cell r="Y269">
            <v>0</v>
          </cell>
          <cell r="Z269">
            <v>0</v>
          </cell>
          <cell r="AB269">
            <v>442084.20118135208</v>
          </cell>
          <cell r="AC269">
            <v>0</v>
          </cell>
          <cell r="AD269">
            <v>0</v>
          </cell>
          <cell r="AE269">
            <v>0</v>
          </cell>
          <cell r="AH269">
            <v>103</v>
          </cell>
          <cell r="AI269">
            <v>96</v>
          </cell>
          <cell r="AJ269">
            <v>3</v>
          </cell>
          <cell r="AK269">
            <v>4.420842011813521E-3</v>
          </cell>
          <cell r="AL269">
            <v>0</v>
          </cell>
          <cell r="AM269">
            <v>6.9388939039072284E-18</v>
          </cell>
          <cell r="AN269">
            <v>3.1040567705220151E-3</v>
          </cell>
          <cell r="AO269">
            <v>6.4634507114908202E-3</v>
          </cell>
          <cell r="AP269">
            <v>1.0082026716491464E-2</v>
          </cell>
          <cell r="AQ269">
            <v>1.39642400427323E-2</v>
          </cell>
          <cell r="AR269">
            <v>1.8125083351991367E-2</v>
          </cell>
          <cell r="AS269">
            <v>2.2571329872786532E-2</v>
          </cell>
          <cell r="AT269">
            <v>2.7310731641876917E-2</v>
          </cell>
          <cell r="AU269">
            <v>3.2342449765979643E-2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>
            <v>0.1511200229342769</v>
          </cell>
          <cell r="BD269">
            <v>0.18890002866784611</v>
          </cell>
          <cell r="BE269">
            <v>0.27091832460758786</v>
          </cell>
          <cell r="BF269">
            <v>0.39354466037806102</v>
          </cell>
          <cell r="BG269">
            <v>0.56125482609413513</v>
          </cell>
          <cell r="BH269">
            <v>0.77850495348233451</v>
          </cell>
          <cell r="BI269">
            <v>1.049956308666067</v>
          </cell>
          <cell r="BJ269">
            <v>1.3799867959799064</v>
          </cell>
          <cell r="BL269">
            <v>104995.63086660669</v>
          </cell>
        </row>
        <row r="270">
          <cell r="A270">
            <v>10000232</v>
          </cell>
          <cell r="B270" t="str">
            <v/>
          </cell>
          <cell r="C270" t="str">
            <v>LSPU</v>
          </cell>
          <cell r="D270" t="str">
            <v>RPH</v>
          </cell>
          <cell r="E270">
            <v>40</v>
          </cell>
          <cell r="F270" t="str">
            <v>M</v>
          </cell>
          <cell r="G270">
            <v>34777</v>
          </cell>
          <cell r="H270">
            <v>1</v>
          </cell>
          <cell r="I270">
            <v>50000000</v>
          </cell>
          <cell r="J270">
            <v>600000</v>
          </cell>
          <cell r="K270">
            <v>600000</v>
          </cell>
          <cell r="L270">
            <v>600000</v>
          </cell>
          <cell r="M270">
            <v>45</v>
          </cell>
          <cell r="N270">
            <v>45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U270">
            <v>0</v>
          </cell>
          <cell r="W270">
            <v>3367311.5025879303</v>
          </cell>
          <cell r="X270">
            <v>0</v>
          </cell>
          <cell r="Y270">
            <v>0</v>
          </cell>
          <cell r="Z270">
            <v>0</v>
          </cell>
          <cell r="AB270">
            <v>476921.16133121576</v>
          </cell>
          <cell r="AC270">
            <v>0</v>
          </cell>
          <cell r="AD270">
            <v>0</v>
          </cell>
          <cell r="AE270">
            <v>0</v>
          </cell>
          <cell r="AH270">
            <v>103</v>
          </cell>
          <cell r="AI270">
            <v>96</v>
          </cell>
          <cell r="AJ270">
            <v>1</v>
          </cell>
          <cell r="AK270">
            <v>9.5384232266243155E-3</v>
          </cell>
          <cell r="AL270">
            <v>0</v>
          </cell>
          <cell r="AM270">
            <v>0</v>
          </cell>
          <cell r="AN270">
            <v>7.0008241355641182E-3</v>
          </cell>
          <cell r="AO270">
            <v>1.4371096392401209E-2</v>
          </cell>
          <cell r="AP270">
            <v>2.2120522088755534E-2</v>
          </cell>
          <cell r="AQ270">
            <v>3.0270532621319207E-2</v>
          </cell>
          <cell r="AR270">
            <v>3.8845501094435075E-2</v>
          </cell>
          <cell r="AS270">
            <v>4.7863538828757948E-2</v>
          </cell>
          <cell r="AT270">
            <v>5.7355313524155169E-2</v>
          </cell>
          <cell r="AU270">
            <v>6.7346230051758604E-2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C270">
            <v>0.25855951328606536</v>
          </cell>
          <cell r="BD270">
            <v>0.32319939160758171</v>
          </cell>
          <cell r="BE270">
            <v>0.50876447575988126</v>
          </cell>
          <cell r="BF270">
            <v>0.78101265488495852</v>
          </cell>
          <cell r="BG270">
            <v>1.1471528723860607</v>
          </cell>
          <cell r="BH270">
            <v>1.6146946915027807</v>
          </cell>
          <cell r="BI270">
            <v>2.1922064968737032</v>
          </cell>
          <cell r="BJ270">
            <v>2.888701973294066</v>
          </cell>
          <cell r="BL270">
            <v>109610.32484368517</v>
          </cell>
        </row>
        <row r="271">
          <cell r="A271">
            <v>10000248</v>
          </cell>
          <cell r="B271" t="str">
            <v/>
          </cell>
          <cell r="C271" t="str">
            <v>LSPL</v>
          </cell>
          <cell r="D271" t="str">
            <v>RPH</v>
          </cell>
          <cell r="E271">
            <v>21</v>
          </cell>
          <cell r="F271" t="str">
            <v>M</v>
          </cell>
          <cell r="G271">
            <v>34899</v>
          </cell>
          <cell r="H271">
            <v>12</v>
          </cell>
          <cell r="I271">
            <v>125000000</v>
          </cell>
          <cell r="J271">
            <v>76000</v>
          </cell>
          <cell r="K271">
            <v>76000</v>
          </cell>
          <cell r="L271">
            <v>912000</v>
          </cell>
          <cell r="M271">
            <v>20</v>
          </cell>
          <cell r="N271">
            <v>64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U271">
            <v>0</v>
          </cell>
          <cell r="W271">
            <v>2884426.9961472992</v>
          </cell>
          <cell r="X271">
            <v>0</v>
          </cell>
          <cell r="Y271">
            <v>0</v>
          </cell>
          <cell r="Z271">
            <v>0</v>
          </cell>
          <cell r="AB271">
            <v>471799.82793073735</v>
          </cell>
          <cell r="AC271">
            <v>0</v>
          </cell>
          <cell r="AD271">
            <v>0</v>
          </cell>
          <cell r="AE271">
            <v>0</v>
          </cell>
          <cell r="AH271">
            <v>99</v>
          </cell>
          <cell r="AI271">
            <v>96</v>
          </cell>
          <cell r="AJ271">
            <v>4</v>
          </cell>
          <cell r="AK271">
            <v>3.7743986234458986E-3</v>
          </cell>
          <cell r="AL271">
            <v>0</v>
          </cell>
          <cell r="AM271">
            <v>2.0816681711721685E-17</v>
          </cell>
          <cell r="AN271">
            <v>2.2383025082716376E-3</v>
          </cell>
          <cell r="AO271">
            <v>4.7225336955720662E-3</v>
          </cell>
          <cell r="AP271">
            <v>7.4751114283005196E-3</v>
          </cell>
          <cell r="AQ271">
            <v>1.053039414615934E-2</v>
          </cell>
          <cell r="AR271">
            <v>1.3896125454651687E-2</v>
          </cell>
          <cell r="AS271">
            <v>1.7580934643366498E-2</v>
          </cell>
          <cell r="AT271">
            <v>2.1614057157994103E-2</v>
          </cell>
          <cell r="AU271">
            <v>2.5998133591546978E-2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>
            <v>0.13163945708480054</v>
          </cell>
          <cell r="BD271">
            <v>0.16454932135600067</v>
          </cell>
          <cell r="BE271">
            <v>0.2241034917716353</v>
          </cell>
          <cell r="BF271">
            <v>0.31636787626640772</v>
          </cell>
          <cell r="BG271">
            <v>0.44608914405852651</v>
          </cell>
          <cell r="BH271">
            <v>0.61822804574067858</v>
          </cell>
          <cell r="BI271">
            <v>0.83894276286862013</v>
          </cell>
          <cell r="BJ271">
            <v>1.1136143096913516</v>
          </cell>
          <cell r="BL271">
            <v>104867.84535857751</v>
          </cell>
        </row>
        <row r="272">
          <cell r="A272">
            <v>10000275</v>
          </cell>
          <cell r="B272" t="str">
            <v/>
          </cell>
          <cell r="C272" t="str">
            <v>LSPL</v>
          </cell>
          <cell r="D272" t="str">
            <v>RPH</v>
          </cell>
          <cell r="E272">
            <v>40</v>
          </cell>
          <cell r="F272" t="str">
            <v>M</v>
          </cell>
          <cell r="G272">
            <v>34784</v>
          </cell>
          <cell r="H272">
            <v>1</v>
          </cell>
          <cell r="I272">
            <v>40000000</v>
          </cell>
          <cell r="J272">
            <v>636000</v>
          </cell>
          <cell r="K272">
            <v>636000</v>
          </cell>
          <cell r="L272">
            <v>636000</v>
          </cell>
          <cell r="M272">
            <v>20</v>
          </cell>
          <cell r="N272">
            <v>45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T272">
            <v>0</v>
          </cell>
          <cell r="U272">
            <v>0</v>
          </cell>
          <cell r="W272">
            <v>3407671.8320183973</v>
          </cell>
          <cell r="X272">
            <v>0</v>
          </cell>
          <cell r="Y272">
            <v>0</v>
          </cell>
          <cell r="Z272">
            <v>0</v>
          </cell>
          <cell r="AB272">
            <v>439467.50441109412</v>
          </cell>
          <cell r="AC272">
            <v>0</v>
          </cell>
          <cell r="AD272">
            <v>0</v>
          </cell>
          <cell r="AE272">
            <v>0</v>
          </cell>
          <cell r="AH272">
            <v>103</v>
          </cell>
          <cell r="AI272">
            <v>96</v>
          </cell>
          <cell r="AJ272">
            <v>1</v>
          </cell>
          <cell r="AK272">
            <v>1.0986687610277353E-2</v>
          </cell>
          <cell r="AL272">
            <v>0</v>
          </cell>
          <cell r="AM272">
            <v>0</v>
          </cell>
          <cell r="AN272">
            <v>8.5848496811117142E-3</v>
          </cell>
          <cell r="AO272">
            <v>1.7688600354930875E-2</v>
          </cell>
          <cell r="AP272">
            <v>2.733622888448145E-2</v>
          </cell>
          <cell r="AQ272">
            <v>3.7566143024303333E-2</v>
          </cell>
          <cell r="AR272">
            <v>4.8421619652649947E-2</v>
          </cell>
          <cell r="AS272">
            <v>5.9941957740220625E-2</v>
          </cell>
          <cell r="AT272">
            <v>7.2181386499384326E-2</v>
          </cell>
          <cell r="AU272">
            <v>8.5191795800459935E-2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C272">
            <v>0.30060705813817784</v>
          </cell>
          <cell r="BD272">
            <v>0.37575882267272226</v>
          </cell>
          <cell r="BE272">
            <v>0.60910295667566627</v>
          </cell>
          <cell r="BF272">
            <v>0.9542716893555272</v>
          </cell>
          <cell r="BG272">
            <v>1.4222839923014075</v>
          </cell>
          <cell r="BH272">
            <v>2.0250287378862044</v>
          </cell>
          <cell r="BI272">
            <v>2.7761060256390464</v>
          </cell>
          <cell r="BJ272">
            <v>3.6903219714712741</v>
          </cell>
          <cell r="BL272">
            <v>111044.24102556186</v>
          </cell>
        </row>
        <row r="273">
          <cell r="A273">
            <v>10000287</v>
          </cell>
          <cell r="B273" t="str">
            <v/>
          </cell>
          <cell r="C273" t="str">
            <v>LSPL</v>
          </cell>
          <cell r="D273" t="str">
            <v>RPH</v>
          </cell>
          <cell r="E273">
            <v>38</v>
          </cell>
          <cell r="F273" t="str">
            <v>M</v>
          </cell>
          <cell r="G273">
            <v>34807</v>
          </cell>
          <cell r="H273">
            <v>1</v>
          </cell>
          <cell r="I273">
            <v>225000000</v>
          </cell>
          <cell r="J273">
            <v>2565000</v>
          </cell>
          <cell r="K273">
            <v>2565000</v>
          </cell>
          <cell r="L273">
            <v>2565000</v>
          </cell>
          <cell r="M273">
            <v>20</v>
          </cell>
          <cell r="N273">
            <v>47</v>
          </cell>
          <cell r="O273">
            <v>225000000</v>
          </cell>
          <cell r="P273">
            <v>562500</v>
          </cell>
          <cell r="Q273">
            <v>0</v>
          </cell>
          <cell r="R273">
            <v>0</v>
          </cell>
          <cell r="T273">
            <v>157500</v>
          </cell>
          <cell r="U273">
            <v>157500</v>
          </cell>
          <cell r="W273">
            <v>17222897.208257854</v>
          </cell>
          <cell r="X273">
            <v>562500</v>
          </cell>
          <cell r="Y273">
            <v>0</v>
          </cell>
          <cell r="Z273">
            <v>315000</v>
          </cell>
          <cell r="AB273">
            <v>2183409.6760404091</v>
          </cell>
          <cell r="AC273">
            <v>562500</v>
          </cell>
          <cell r="AD273">
            <v>0</v>
          </cell>
          <cell r="AE273">
            <v>157500</v>
          </cell>
          <cell r="AH273">
            <v>102</v>
          </cell>
          <cell r="AI273">
            <v>96</v>
          </cell>
          <cell r="AJ273">
            <v>1</v>
          </cell>
          <cell r="AK273">
            <v>9.7040430046240397E-3</v>
          </cell>
          <cell r="AL273">
            <v>0</v>
          </cell>
          <cell r="AM273">
            <v>0</v>
          </cell>
          <cell r="AN273">
            <v>7.6997361097585204E-3</v>
          </cell>
          <cell r="AO273">
            <v>1.5870110081433492E-2</v>
          </cell>
          <cell r="AP273">
            <v>2.4539752818441854E-2</v>
          </cell>
          <cell r="AQ273">
            <v>3.3740916246416008E-2</v>
          </cell>
          <cell r="AR273">
            <v>4.3500311840350261E-2</v>
          </cell>
          <cell r="AS273">
            <v>5.3858106707333056E-2</v>
          </cell>
          <cell r="AT273">
            <v>6.48595287570541E-2</v>
          </cell>
          <cell r="AU273">
            <v>7.6546209814479349E-2</v>
          </cell>
          <cell r="AW273">
            <v>0</v>
          </cell>
          <cell r="AY273">
            <v>1</v>
          </cell>
          <cell r="AZ273">
            <v>0</v>
          </cell>
          <cell r="BA273">
            <v>1</v>
          </cell>
          <cell r="BC273">
            <v>0.28036468454822633</v>
          </cell>
          <cell r="BD273">
            <v>0.35045585568528287</v>
          </cell>
          <cell r="BE273">
            <v>0.55858595202169659</v>
          </cell>
          <cell r="BF273">
            <v>0.86669578266677849</v>
          </cell>
          <cell r="BG273">
            <v>1.2842681334272097</v>
          </cell>
          <cell r="BH273">
            <v>1.8220313416857772</v>
          </cell>
          <cell r="BI273">
            <v>2.4919361459161675</v>
          </cell>
          <cell r="BJ273">
            <v>3.3068439446859066</v>
          </cell>
          <cell r="BL273">
            <v>560685.63283113763</v>
          </cell>
        </row>
        <row r="274">
          <cell r="A274">
            <v>10000290</v>
          </cell>
          <cell r="B274" t="str">
            <v/>
          </cell>
          <cell r="C274" t="str">
            <v>LSPL</v>
          </cell>
          <cell r="D274" t="str">
            <v>RPH</v>
          </cell>
          <cell r="E274">
            <v>36</v>
          </cell>
          <cell r="F274" t="str">
            <v>M</v>
          </cell>
          <cell r="G274">
            <v>34793</v>
          </cell>
          <cell r="H274">
            <v>2</v>
          </cell>
          <cell r="I274">
            <v>100000000</v>
          </cell>
          <cell r="J274">
            <v>655200</v>
          </cell>
          <cell r="K274">
            <v>655200</v>
          </cell>
          <cell r="L274">
            <v>1310400</v>
          </cell>
          <cell r="M274">
            <v>20</v>
          </cell>
          <cell r="N274">
            <v>49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T274">
            <v>26000</v>
          </cell>
          <cell r="U274">
            <v>52000</v>
          </cell>
          <cell r="W274">
            <v>6869748.2372227125</v>
          </cell>
          <cell r="X274">
            <v>0</v>
          </cell>
          <cell r="Y274">
            <v>0</v>
          </cell>
          <cell r="Z274">
            <v>104000</v>
          </cell>
          <cell r="AB274">
            <v>856692.01974097383</v>
          </cell>
          <cell r="AC274">
            <v>0</v>
          </cell>
          <cell r="AD274">
            <v>0</v>
          </cell>
          <cell r="AE274">
            <v>52000</v>
          </cell>
          <cell r="AH274">
            <v>102</v>
          </cell>
          <cell r="AI274">
            <v>96</v>
          </cell>
          <cell r="AJ274">
            <v>2</v>
          </cell>
          <cell r="AK274">
            <v>8.5669201974097383E-3</v>
          </cell>
          <cell r="AL274">
            <v>0</v>
          </cell>
          <cell r="AM274">
            <v>1.3877787807814457E-17</v>
          </cell>
          <cell r="AN274">
            <v>6.8650369572001158E-3</v>
          </cell>
          <cell r="AO274">
            <v>1.4178832569811756E-2</v>
          </cell>
          <cell r="AP274">
            <v>2.1956544495307803E-2</v>
          </cell>
          <cell r="AQ274">
            <v>3.0215756146925038E-2</v>
          </cell>
          <cell r="AR274">
            <v>3.8986450877325343E-2</v>
          </cell>
          <cell r="AS274">
            <v>4.8302376287487792E-2</v>
          </cell>
          <cell r="AT274">
            <v>5.8192047118425586E-2</v>
          </cell>
          <cell r="AU274">
            <v>6.8697482372227128E-2</v>
          </cell>
          <cell r="AW274">
            <v>0</v>
          </cell>
          <cell r="AY274">
            <v>0</v>
          </cell>
          <cell r="AZ274">
            <v>0</v>
          </cell>
          <cell r="BA274">
            <v>1</v>
          </cell>
          <cell r="BC274">
            <v>0.26035396079201234</v>
          </cell>
          <cell r="BD274">
            <v>0.3254424509900154</v>
          </cell>
          <cell r="BE274">
            <v>0.51076499926717378</v>
          </cell>
          <cell r="BF274">
            <v>0.78523369259151043</v>
          </cell>
          <cell r="BG274">
            <v>1.1575789425551009</v>
          </cell>
          <cell r="BH274">
            <v>1.6374124869819597</v>
          </cell>
          <cell r="BI274">
            <v>2.2349042045939576</v>
          </cell>
          <cell r="BJ274">
            <v>2.9616745989892173</v>
          </cell>
          <cell r="BL274">
            <v>223490.42045939577</v>
          </cell>
        </row>
        <row r="275">
          <cell r="A275">
            <v>10000310</v>
          </cell>
          <cell r="B275" t="str">
            <v/>
          </cell>
          <cell r="C275" t="str">
            <v>LSPL</v>
          </cell>
          <cell r="D275" t="str">
            <v>RPH</v>
          </cell>
          <cell r="E275">
            <v>39</v>
          </cell>
          <cell r="F275" t="str">
            <v>M</v>
          </cell>
          <cell r="G275">
            <v>34865</v>
          </cell>
          <cell r="H275">
            <v>1</v>
          </cell>
          <cell r="I275">
            <v>75000000</v>
          </cell>
          <cell r="J275">
            <v>982500</v>
          </cell>
          <cell r="K275">
            <v>982500</v>
          </cell>
          <cell r="L275">
            <v>982500</v>
          </cell>
          <cell r="M275">
            <v>20</v>
          </cell>
          <cell r="N275">
            <v>46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T275">
            <v>0</v>
          </cell>
          <cell r="U275">
            <v>0</v>
          </cell>
          <cell r="W275">
            <v>6056802.3662239313</v>
          </cell>
          <cell r="X275">
            <v>0</v>
          </cell>
          <cell r="Y275">
            <v>0</v>
          </cell>
          <cell r="Z275">
            <v>0</v>
          </cell>
          <cell r="AB275">
            <v>774499.62390669959</v>
          </cell>
          <cell r="AC275">
            <v>0</v>
          </cell>
          <cell r="AD275">
            <v>0</v>
          </cell>
          <cell r="AE275">
            <v>0</v>
          </cell>
          <cell r="AH275">
            <v>100</v>
          </cell>
          <cell r="AI275">
            <v>96</v>
          </cell>
          <cell r="AJ275">
            <v>1</v>
          </cell>
          <cell r="AK275">
            <v>1.0326661652089328E-2</v>
          </cell>
          <cell r="AL275">
            <v>0</v>
          </cell>
          <cell r="AM275">
            <v>0</v>
          </cell>
          <cell r="AN275">
            <v>8.1316759801147165E-3</v>
          </cell>
          <cell r="AO275">
            <v>1.6756896605493288E-2</v>
          </cell>
          <cell r="AP275">
            <v>2.5907194191214344E-2</v>
          </cell>
          <cell r="AQ275">
            <v>3.5608404740304453E-2</v>
          </cell>
          <cell r="AR275">
            <v>4.5899804513432937E-2</v>
          </cell>
          <cell r="AS275">
            <v>5.6825633366241621E-2</v>
          </cell>
          <cell r="AT275">
            <v>6.8426344453583046E-2</v>
          </cell>
          <cell r="AU275">
            <v>8.0757364882985752E-2</v>
          </cell>
          <cell r="AW275">
            <v>0</v>
          </cell>
          <cell r="AY275">
            <v>0</v>
          </cell>
          <cell r="AZ275">
            <v>0</v>
          </cell>
          <cell r="BA275">
            <v>0</v>
          </cell>
          <cell r="BC275">
            <v>0.29046883359110875</v>
          </cell>
          <cell r="BD275">
            <v>0.36308604198888594</v>
          </cell>
          <cell r="BE275">
            <v>0.58358118450562246</v>
          </cell>
          <cell r="BF275">
            <v>0.90968294226468926</v>
          </cell>
          <cell r="BG275">
            <v>1.3517032690449255</v>
          </cell>
          <cell r="BH275">
            <v>1.9211159778883737</v>
          </cell>
          <cell r="BI275">
            <v>2.6302834282505394</v>
          </cell>
          <cell r="BJ275">
            <v>3.4933999164437664</v>
          </cell>
          <cell r="BL275">
            <v>197271.25711879044</v>
          </cell>
        </row>
        <row r="276">
          <cell r="A276">
            <v>10000338</v>
          </cell>
          <cell r="B276" t="str">
            <v/>
          </cell>
          <cell r="C276" t="str">
            <v>LSPU</v>
          </cell>
          <cell r="D276" t="str">
            <v>RPH</v>
          </cell>
          <cell r="E276">
            <v>29</v>
          </cell>
          <cell r="F276" t="str">
            <v>F</v>
          </cell>
          <cell r="G276">
            <v>34855</v>
          </cell>
          <cell r="H276">
            <v>4</v>
          </cell>
          <cell r="I276">
            <v>142857000</v>
          </cell>
          <cell r="J276">
            <v>212000</v>
          </cell>
          <cell r="K276">
            <v>212000</v>
          </cell>
          <cell r="L276">
            <v>848000</v>
          </cell>
          <cell r="M276">
            <v>56</v>
          </cell>
          <cell r="N276">
            <v>56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T276">
            <v>0</v>
          </cell>
          <cell r="U276">
            <v>0</v>
          </cell>
          <cell r="W276">
            <v>3803932.3736364827</v>
          </cell>
          <cell r="X276">
            <v>0</v>
          </cell>
          <cell r="Y276">
            <v>0</v>
          </cell>
          <cell r="Z276">
            <v>0</v>
          </cell>
          <cell r="AB276">
            <v>576623.81949985831</v>
          </cell>
          <cell r="AC276">
            <v>0</v>
          </cell>
          <cell r="AD276">
            <v>0</v>
          </cell>
          <cell r="AE276">
            <v>0</v>
          </cell>
          <cell r="AH276">
            <v>100</v>
          </cell>
          <cell r="AI276">
            <v>96</v>
          </cell>
          <cell r="AJ276">
            <v>2</v>
          </cell>
          <cell r="AK276">
            <v>4.0363707728697813E-3</v>
          </cell>
          <cell r="AL276">
            <v>0</v>
          </cell>
          <cell r="AM276">
            <v>0</v>
          </cell>
          <cell r="AN276">
            <v>2.828600602677582E-3</v>
          </cell>
          <cell r="AO276">
            <v>5.8593871786093363E-3</v>
          </cell>
          <cell r="AP276">
            <v>9.1112787838964066E-3</v>
          </cell>
          <cell r="AQ276">
            <v>1.2582221130497326E-2</v>
          </cell>
          <cell r="AR276">
            <v>1.6292931537411647E-2</v>
          </cell>
          <cell r="AS276">
            <v>2.0243515591187526E-2</v>
          </cell>
          <cell r="AT276">
            <v>2.4423193881616651E-2</v>
          </cell>
          <cell r="AU276">
            <v>2.8831912604400593E-2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C276">
            <v>0.13557919168255092</v>
          </cell>
          <cell r="BD276">
            <v>0.16947398960318863</v>
          </cell>
          <cell r="BE276">
            <v>0.24311026682682557</v>
          </cell>
          <cell r="BF276">
            <v>0.35262834602000481</v>
          </cell>
          <cell r="BG276">
            <v>0.50202486141303626</v>
          </cell>
          <cell r="BH276">
            <v>0.69486335109248565</v>
          </cell>
          <cell r="BI276">
            <v>0.93418472017987586</v>
          </cell>
          <cell r="BJ276">
            <v>1.2233722649925376</v>
          </cell>
          <cell r="BL276">
            <v>133454.82657073654</v>
          </cell>
        </row>
        <row r="277">
          <cell r="A277">
            <v>10000363</v>
          </cell>
          <cell r="B277" t="str">
            <v/>
          </cell>
          <cell r="C277" t="str">
            <v>LSPL</v>
          </cell>
          <cell r="D277" t="str">
            <v>RPH</v>
          </cell>
          <cell r="E277">
            <v>31</v>
          </cell>
          <cell r="F277" t="str">
            <v>M</v>
          </cell>
          <cell r="G277">
            <v>34843</v>
          </cell>
          <cell r="H277">
            <v>12</v>
          </cell>
          <cell r="I277">
            <v>95238000</v>
          </cell>
          <cell r="J277">
            <v>76000</v>
          </cell>
          <cell r="K277">
            <v>76000</v>
          </cell>
          <cell r="L277">
            <v>912000</v>
          </cell>
          <cell r="M277">
            <v>20</v>
          </cell>
          <cell r="N277">
            <v>54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U277">
            <v>0</v>
          </cell>
          <cell r="W277">
            <v>4536521.6644998966</v>
          </cell>
          <cell r="X277">
            <v>0</v>
          </cell>
          <cell r="Y277">
            <v>0</v>
          </cell>
          <cell r="Z277">
            <v>0</v>
          </cell>
          <cell r="AB277">
            <v>599754.87513220659</v>
          </cell>
          <cell r="AC277">
            <v>0</v>
          </cell>
          <cell r="AD277">
            <v>0</v>
          </cell>
          <cell r="AE277">
            <v>0</v>
          </cell>
          <cell r="AH277">
            <v>101</v>
          </cell>
          <cell r="AI277">
            <v>96</v>
          </cell>
          <cell r="AJ277">
            <v>6</v>
          </cell>
          <cell r="AK277">
            <v>6.2974324863206551E-3</v>
          </cell>
          <cell r="AL277">
            <v>0</v>
          </cell>
          <cell r="AM277">
            <v>0</v>
          </cell>
          <cell r="AN277">
            <v>5.0035580636684784E-3</v>
          </cell>
          <cell r="AO277">
            <v>1.0388336956553425E-2</v>
          </cell>
          <cell r="AP277">
            <v>1.6170638501661186E-2</v>
          </cell>
          <cell r="AQ277">
            <v>2.2368737537356298E-2</v>
          </cell>
          <cell r="AR277">
            <v>2.8993389990586059E-2</v>
          </cell>
          <cell r="AS277">
            <v>3.6066802838897134E-2</v>
          </cell>
          <cell r="AT277">
            <v>4.3613901761207441E-2</v>
          </cell>
          <cell r="AU277">
            <v>5.1653148460340602E-2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C277">
            <v>0.20846971170588305</v>
          </cell>
          <cell r="BD277">
            <v>0.2605871396323538</v>
          </cell>
          <cell r="BE277">
            <v>0.39535372801958457</v>
          </cell>
          <cell r="BF277">
            <v>0.59674487885485306</v>
          </cell>
          <cell r="BG277">
            <v>0.87158202339835333</v>
          </cell>
          <cell r="BH277">
            <v>1.2274550014953074</v>
          </cell>
          <cell r="BI277">
            <v>1.6726184329396871</v>
          </cell>
          <cell r="BJ277">
            <v>2.2155782728341316</v>
          </cell>
          <cell r="BL277">
            <v>159296.83431630992</v>
          </cell>
        </row>
        <row r="278">
          <cell r="A278">
            <v>10000415</v>
          </cell>
          <cell r="B278" t="str">
            <v/>
          </cell>
          <cell r="C278" t="str">
            <v>LSPL</v>
          </cell>
          <cell r="D278" t="str">
            <v>RPH</v>
          </cell>
          <cell r="E278">
            <v>45</v>
          </cell>
          <cell r="F278" t="str">
            <v>M</v>
          </cell>
          <cell r="G278">
            <v>34872</v>
          </cell>
          <cell r="H278">
            <v>12</v>
          </cell>
          <cell r="I278">
            <v>43010000</v>
          </cell>
          <cell r="J278">
            <v>76000</v>
          </cell>
          <cell r="K278">
            <v>76000</v>
          </cell>
          <cell r="L278">
            <v>912000</v>
          </cell>
          <cell r="M278">
            <v>20</v>
          </cell>
          <cell r="N278">
            <v>40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T278">
            <v>0</v>
          </cell>
          <cell r="U278">
            <v>0</v>
          </cell>
          <cell r="W278">
            <v>4336998.6420289678</v>
          </cell>
          <cell r="X278">
            <v>0</v>
          </cell>
          <cell r="Y278">
            <v>0</v>
          </cell>
          <cell r="Z278">
            <v>0</v>
          </cell>
          <cell r="AB278">
            <v>642477.63656301121</v>
          </cell>
          <cell r="AC278">
            <v>0</v>
          </cell>
          <cell r="AD278">
            <v>0</v>
          </cell>
          <cell r="AE278">
            <v>0</v>
          </cell>
          <cell r="AH278">
            <v>100</v>
          </cell>
          <cell r="AI278">
            <v>96</v>
          </cell>
          <cell r="AJ278">
            <v>5</v>
          </cell>
          <cell r="AK278">
            <v>1.4937866462753108E-2</v>
          </cell>
          <cell r="AL278">
            <v>0</v>
          </cell>
          <cell r="AM278">
            <v>0</v>
          </cell>
          <cell r="AN278">
            <v>1.1219719407768725E-2</v>
          </cell>
          <cell r="AO278">
            <v>2.310956449050125E-2</v>
          </cell>
          <cell r="AP278">
            <v>3.5714917798303103E-2</v>
          </cell>
          <cell r="AQ278">
            <v>4.9068517467390577E-2</v>
          </cell>
          <cell r="AR278">
            <v>6.3209424455041907E-2</v>
          </cell>
          <cell r="AS278">
            <v>7.8146807239634949E-2</v>
          </cell>
          <cell r="AT278">
            <v>9.3914602978413211E-2</v>
          </cell>
          <cell r="AU278">
            <v>0.11052831520872704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C278">
            <v>0.35063782040812275</v>
          </cell>
          <cell r="BD278">
            <v>0.43829727551015341</v>
          </cell>
          <cell r="BE278">
            <v>0.74943535463840871</v>
          </cell>
          <cell r="BF278">
            <v>1.2093884909663419</v>
          </cell>
          <cell r="BG278">
            <v>1.8320398520958938</v>
          </cell>
          <cell r="BH278">
            <v>2.6309617660973648</v>
          </cell>
          <cell r="BI278">
            <v>3.6213050903419362</v>
          </cell>
          <cell r="BJ278">
            <v>4.8181291953241834</v>
          </cell>
          <cell r="BL278">
            <v>155752.33193560669</v>
          </cell>
        </row>
        <row r="279">
          <cell r="A279">
            <v>10000546</v>
          </cell>
          <cell r="B279" t="str">
            <v/>
          </cell>
          <cell r="C279" t="str">
            <v>LSPL</v>
          </cell>
          <cell r="D279" t="str">
            <v>RPH</v>
          </cell>
          <cell r="E279">
            <v>37</v>
          </cell>
          <cell r="F279" t="str">
            <v>M</v>
          </cell>
          <cell r="G279">
            <v>34912</v>
          </cell>
          <cell r="H279">
            <v>12</v>
          </cell>
          <cell r="I279">
            <v>68376000</v>
          </cell>
          <cell r="J279">
            <v>76000</v>
          </cell>
          <cell r="K279">
            <v>76000</v>
          </cell>
          <cell r="L279">
            <v>912000</v>
          </cell>
          <cell r="M279">
            <v>20</v>
          </cell>
          <cell r="N279">
            <v>48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T279">
            <v>0</v>
          </cell>
          <cell r="U279">
            <v>0</v>
          </cell>
          <cell r="W279">
            <v>4391373.0162548898</v>
          </cell>
          <cell r="X279">
            <v>0</v>
          </cell>
          <cell r="Y279">
            <v>0</v>
          </cell>
          <cell r="Z279">
            <v>0</v>
          </cell>
          <cell r="AB279">
            <v>623436.02714775107</v>
          </cell>
          <cell r="AC279">
            <v>0</v>
          </cell>
          <cell r="AD279">
            <v>0</v>
          </cell>
          <cell r="AE279">
            <v>0</v>
          </cell>
          <cell r="AH279">
            <v>98</v>
          </cell>
          <cell r="AI279">
            <v>96</v>
          </cell>
          <cell r="AJ279">
            <v>3</v>
          </cell>
          <cell r="AK279">
            <v>9.1177610147968741E-3</v>
          </cell>
          <cell r="AL279">
            <v>0</v>
          </cell>
          <cell r="AM279">
            <v>0</v>
          </cell>
          <cell r="AN279">
            <v>7.2778641821367313E-3</v>
          </cell>
          <cell r="AO279">
            <v>1.5014774310157034E-2</v>
          </cell>
          <cell r="AP279">
            <v>2.3227630540402153E-2</v>
          </cell>
          <cell r="AQ279">
            <v>3.1945731195856822E-2</v>
          </cell>
          <cell r="AR279">
            <v>4.1202066175122259E-2</v>
          </cell>
          <cell r="AS279">
            <v>5.1024239321477427E-2</v>
          </cell>
          <cell r="AT279">
            <v>6.1453331424865726E-2</v>
          </cell>
          <cell r="AU279">
            <v>7.2535584071892215E-2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C279">
            <v>0.27031789940364032</v>
          </cell>
          <cell r="BD279">
            <v>0.33789737425455041</v>
          </cell>
          <cell r="BE279">
            <v>0.53432772104243442</v>
          </cell>
          <cell r="BF279">
            <v>0.82515877544121263</v>
          </cell>
          <cell r="BG279">
            <v>1.2196517086985799</v>
          </cell>
          <cell r="BH279">
            <v>1.7276236804825027</v>
          </cell>
          <cell r="BI279">
            <v>2.3602391760373296</v>
          </cell>
          <cell r="BJ279">
            <v>3.1299480473973644</v>
          </cell>
          <cell r="BL279">
            <v>161383.71390072844</v>
          </cell>
        </row>
        <row r="280">
          <cell r="A280">
            <v>10000563</v>
          </cell>
          <cell r="B280" t="str">
            <v/>
          </cell>
          <cell r="C280" t="str">
            <v>LSPU</v>
          </cell>
          <cell r="D280" t="str">
            <v>RPH</v>
          </cell>
          <cell r="E280">
            <v>31</v>
          </cell>
          <cell r="F280" t="str">
            <v>M</v>
          </cell>
          <cell r="G280">
            <v>34919</v>
          </cell>
          <cell r="H280">
            <v>2</v>
          </cell>
          <cell r="I280">
            <v>150000000</v>
          </cell>
          <cell r="J280">
            <v>546000</v>
          </cell>
          <cell r="K280">
            <v>546000</v>
          </cell>
          <cell r="L280">
            <v>1092000</v>
          </cell>
          <cell r="M280">
            <v>54</v>
          </cell>
          <cell r="N280">
            <v>54</v>
          </cell>
          <cell r="O280">
            <v>150000000</v>
          </cell>
          <cell r="P280">
            <v>390000</v>
          </cell>
          <cell r="Q280">
            <v>0</v>
          </cell>
          <cell r="R280">
            <v>0</v>
          </cell>
          <cell r="T280">
            <v>21300</v>
          </cell>
          <cell r="U280">
            <v>42600</v>
          </cell>
          <cell r="W280">
            <v>5488287.7783512119</v>
          </cell>
          <cell r="X280">
            <v>390000</v>
          </cell>
          <cell r="Y280">
            <v>0</v>
          </cell>
          <cell r="Z280">
            <v>85200</v>
          </cell>
          <cell r="AB280">
            <v>796020.94443245849</v>
          </cell>
          <cell r="AC280">
            <v>390000</v>
          </cell>
          <cell r="AD280">
            <v>0</v>
          </cell>
          <cell r="AE280">
            <v>42600</v>
          </cell>
          <cell r="AH280">
            <v>98</v>
          </cell>
          <cell r="AI280">
            <v>96</v>
          </cell>
          <cell r="AJ280">
            <v>1</v>
          </cell>
          <cell r="AK280">
            <v>5.3068062962163898E-3</v>
          </cell>
          <cell r="AL280">
            <v>0</v>
          </cell>
          <cell r="AM280">
            <v>0</v>
          </cell>
          <cell r="AN280">
            <v>3.9217525401258058E-3</v>
          </cell>
          <cell r="AO280">
            <v>8.1249728286288056E-3</v>
          </cell>
          <cell r="AP280">
            <v>1.2616503077389936E-2</v>
          </cell>
          <cell r="AQ280">
            <v>1.7404174275408565E-2</v>
          </cell>
          <cell r="AR280">
            <v>2.2487138985517616E-2</v>
          </cell>
          <cell r="AS280">
            <v>2.7874808630580165E-2</v>
          </cell>
          <cell r="AT280">
            <v>3.3577949173994572E-2</v>
          </cell>
          <cell r="AU280">
            <v>3.9599221204021595E-2</v>
          </cell>
          <cell r="AW280">
            <v>0</v>
          </cell>
          <cell r="AY280">
            <v>1</v>
          </cell>
          <cell r="AZ280">
            <v>0</v>
          </cell>
          <cell r="BA280">
            <v>1</v>
          </cell>
          <cell r="BC280">
            <v>0.1741840247760007</v>
          </cell>
          <cell r="BD280">
            <v>0.21773003097000085</v>
          </cell>
          <cell r="BE280">
            <v>0.32129511497968388</v>
          </cell>
          <cell r="BF280">
            <v>0.47516590842180639</v>
          </cell>
          <cell r="BG280">
            <v>0.68376967148827217</v>
          </cell>
          <cell r="BH280">
            <v>0.95196913249570991</v>
          </cell>
          <cell r="BI280">
            <v>1.284911461399048</v>
          </cell>
          <cell r="BJ280">
            <v>1.6875559366847916</v>
          </cell>
          <cell r="BL280">
            <v>192736.7192098572</v>
          </cell>
        </row>
        <row r="281">
          <cell r="A281">
            <v>10000596</v>
          </cell>
          <cell r="B281" t="str">
            <v/>
          </cell>
          <cell r="C281" t="str">
            <v>LSPL</v>
          </cell>
          <cell r="D281" t="str">
            <v>RPH</v>
          </cell>
          <cell r="E281">
            <v>44</v>
          </cell>
          <cell r="F281" t="str">
            <v>M</v>
          </cell>
          <cell r="G281">
            <v>34916</v>
          </cell>
          <cell r="H281">
            <v>2</v>
          </cell>
          <cell r="I281">
            <v>52500000</v>
          </cell>
          <cell r="J281">
            <v>480500</v>
          </cell>
          <cell r="K281">
            <v>480500</v>
          </cell>
          <cell r="L281">
            <v>961000</v>
          </cell>
          <cell r="M281">
            <v>20</v>
          </cell>
          <cell r="N281">
            <v>41</v>
          </cell>
          <cell r="O281">
            <v>52500000</v>
          </cell>
          <cell r="P281">
            <v>136600</v>
          </cell>
          <cell r="Q281">
            <v>0</v>
          </cell>
          <cell r="R281">
            <v>0</v>
          </cell>
          <cell r="T281">
            <v>32200</v>
          </cell>
          <cell r="U281">
            <v>64400</v>
          </cell>
          <cell r="W281">
            <v>5100615.6372080008</v>
          </cell>
          <cell r="X281">
            <v>136600</v>
          </cell>
          <cell r="Y281">
            <v>0</v>
          </cell>
          <cell r="Z281">
            <v>128800</v>
          </cell>
          <cell r="AB281">
            <v>737653.47932232032</v>
          </cell>
          <cell r="AC281">
            <v>136600</v>
          </cell>
          <cell r="AD281">
            <v>0</v>
          </cell>
          <cell r="AE281">
            <v>64400</v>
          </cell>
          <cell r="AH281">
            <v>98</v>
          </cell>
          <cell r="AI281">
            <v>96</v>
          </cell>
          <cell r="AJ281">
            <v>1</v>
          </cell>
          <cell r="AK281">
            <v>1.4050542463282292E-2</v>
          </cell>
          <cell r="AL281">
            <v>0</v>
          </cell>
          <cell r="AM281">
            <v>2.7755575615628914E-17</v>
          </cell>
          <cell r="AN281">
            <v>1.063539671142269E-2</v>
          </cell>
          <cell r="AO281">
            <v>2.189980067990957E-2</v>
          </cell>
          <cell r="AP281">
            <v>3.3843025959635939E-2</v>
          </cell>
          <cell r="AQ281">
            <v>4.65116642163525E-2</v>
          </cell>
          <cell r="AR281">
            <v>5.9940017795762468E-2</v>
          </cell>
          <cell r="AS281">
            <v>7.4168892932888947E-2</v>
          </cell>
          <cell r="AT281">
            <v>8.9209855781439085E-2</v>
          </cell>
          <cell r="AU281">
            <v>0.10509931135029425</v>
          </cell>
          <cell r="AW281">
            <v>0</v>
          </cell>
          <cell r="AY281">
            <v>1</v>
          </cell>
          <cell r="AZ281">
            <v>0</v>
          </cell>
          <cell r="BA281">
            <v>1</v>
          </cell>
          <cell r="BC281">
            <v>0.3407942347348103</v>
          </cell>
          <cell r="BD281">
            <v>0.42599279341851287</v>
          </cell>
          <cell r="BE281">
            <v>0.71950730397204188</v>
          </cell>
          <cell r="BF281">
            <v>1.1539233431029856</v>
          </cell>
          <cell r="BG281">
            <v>1.7424943577198728</v>
          </cell>
          <cell r="BH281">
            <v>2.4996491262232579</v>
          </cell>
          <cell r="BI281">
            <v>3.4394244644728316</v>
          </cell>
          <cell r="BJ281">
            <v>4.5776419348982031</v>
          </cell>
          <cell r="BL281">
            <v>180569.78438482364</v>
          </cell>
        </row>
        <row r="282">
          <cell r="A282">
            <v>10000627</v>
          </cell>
          <cell r="B282" t="str">
            <v/>
          </cell>
          <cell r="C282" t="str">
            <v>LSPL</v>
          </cell>
          <cell r="D282" t="str">
            <v>RPH</v>
          </cell>
          <cell r="E282">
            <v>24</v>
          </cell>
          <cell r="F282" t="str">
            <v>M</v>
          </cell>
          <cell r="G282">
            <v>34935</v>
          </cell>
          <cell r="H282">
            <v>1</v>
          </cell>
          <cell r="I282">
            <v>300000000</v>
          </cell>
          <cell r="J282">
            <v>1530000</v>
          </cell>
          <cell r="K282">
            <v>1530000</v>
          </cell>
          <cell r="L282">
            <v>1530000</v>
          </cell>
          <cell r="M282">
            <v>20</v>
          </cell>
          <cell r="N282">
            <v>61</v>
          </cell>
          <cell r="O282">
            <v>300000000</v>
          </cell>
          <cell r="P282">
            <v>450000</v>
          </cell>
          <cell r="Q282">
            <v>0</v>
          </cell>
          <cell r="R282">
            <v>0</v>
          </cell>
          <cell r="T282">
            <v>41300</v>
          </cell>
          <cell r="U282">
            <v>41300</v>
          </cell>
          <cell r="W282">
            <v>9772964.9662701637</v>
          </cell>
          <cell r="X282">
            <v>450000</v>
          </cell>
          <cell r="Y282">
            <v>0</v>
          </cell>
          <cell r="Z282">
            <v>82600</v>
          </cell>
          <cell r="AB282">
            <v>1286345.818278718</v>
          </cell>
          <cell r="AC282">
            <v>450000</v>
          </cell>
          <cell r="AD282">
            <v>0</v>
          </cell>
          <cell r="AE282">
            <v>41300</v>
          </cell>
          <cell r="AH282">
            <v>98</v>
          </cell>
          <cell r="AI282">
            <v>96</v>
          </cell>
          <cell r="AJ282">
            <v>1</v>
          </cell>
          <cell r="AK282">
            <v>4.2878193942623936E-3</v>
          </cell>
          <cell r="AL282">
            <v>0</v>
          </cell>
          <cell r="AM282">
            <v>2.0816681711721685E-17</v>
          </cell>
          <cell r="AN282">
            <v>2.9288486248393933E-3</v>
          </cell>
          <cell r="AO282">
            <v>6.1567577641752705E-3</v>
          </cell>
          <cell r="AP282">
            <v>9.6911609879865857E-3</v>
          </cell>
          <cell r="AQ282">
            <v>1.3560140856106795E-2</v>
          </cell>
          <cell r="AR282">
            <v>1.7764832184259248E-2</v>
          </cell>
          <cell r="AS282">
            <v>2.2326461528263022E-2</v>
          </cell>
          <cell r="AT282">
            <v>2.7258631742689499E-2</v>
          </cell>
          <cell r="AU282">
            <v>3.257654988756721E-2</v>
          </cell>
          <cell r="AW282">
            <v>0</v>
          </cell>
          <cell r="AY282">
            <v>1</v>
          </cell>
          <cell r="AZ282">
            <v>0</v>
          </cell>
          <cell r="BA282">
            <v>1</v>
          </cell>
          <cell r="BC282">
            <v>0.15214786196681909</v>
          </cell>
          <cell r="BD282">
            <v>0.19018482745852386</v>
          </cell>
          <cell r="BE282">
            <v>0.26893673873718582</v>
          </cell>
          <cell r="BF282">
            <v>0.38913726410110927</v>
          </cell>
          <cell r="BG282">
            <v>0.55582566710856107</v>
          </cell>
          <cell r="BH282">
            <v>0.77494652308823631</v>
          </cell>
          <cell r="BI282">
            <v>1.0525572380580674</v>
          </cell>
          <cell r="BJ282">
            <v>1.395123277446854</v>
          </cell>
          <cell r="BL282">
            <v>315767.17141742021</v>
          </cell>
        </row>
        <row r="283">
          <cell r="A283">
            <v>10000650</v>
          </cell>
          <cell r="B283" t="str">
            <v/>
          </cell>
          <cell r="C283" t="str">
            <v>LSPL</v>
          </cell>
          <cell r="D283" t="str">
            <v>RPH</v>
          </cell>
          <cell r="E283">
            <v>51</v>
          </cell>
          <cell r="F283" t="str">
            <v>F</v>
          </cell>
          <cell r="G283">
            <v>34950</v>
          </cell>
          <cell r="H283">
            <v>1</v>
          </cell>
          <cell r="I283">
            <v>41500000</v>
          </cell>
          <cell r="J283">
            <v>900600</v>
          </cell>
          <cell r="K283">
            <v>900600</v>
          </cell>
          <cell r="L283">
            <v>900600</v>
          </cell>
          <cell r="M283">
            <v>20</v>
          </cell>
          <cell r="N283">
            <v>34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U283">
            <v>0</v>
          </cell>
          <cell r="W283">
            <v>5087025.3095648475</v>
          </cell>
          <cell r="X283">
            <v>0</v>
          </cell>
          <cell r="Y283">
            <v>0</v>
          </cell>
          <cell r="Z283">
            <v>0</v>
          </cell>
          <cell r="AB283">
            <v>724810.80573291762</v>
          </cell>
          <cell r="AC283">
            <v>0</v>
          </cell>
          <cell r="AD283">
            <v>0</v>
          </cell>
          <cell r="AE283">
            <v>0</v>
          </cell>
          <cell r="AH283">
            <v>97</v>
          </cell>
          <cell r="AI283">
            <v>96</v>
          </cell>
          <cell r="AJ283">
            <v>1</v>
          </cell>
          <cell r="AK283">
            <v>1.7465320620070304E-2</v>
          </cell>
          <cell r="AL283">
            <v>0</v>
          </cell>
          <cell r="AM283">
            <v>8.3266726846886741E-17</v>
          </cell>
          <cell r="AN283">
            <v>1.2313026560701879E-2</v>
          </cell>
          <cell r="AO283">
            <v>2.5307076446932836E-2</v>
          </cell>
          <cell r="AP283">
            <v>3.9052045289803966E-2</v>
          </cell>
          <cell r="AQ283">
            <v>5.3626473197582042E-2</v>
          </cell>
          <cell r="AR283">
            <v>6.9140243243131949E-2</v>
          </cell>
          <cell r="AS283">
            <v>8.5725888982613074E-2</v>
          </cell>
          <cell r="AT283">
            <v>0.10350902627480429</v>
          </cell>
          <cell r="AU283">
            <v>0.12257892312204452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C283">
            <v>0.22304678804324563</v>
          </cell>
          <cell r="BD283">
            <v>0.27880848505405698</v>
          </cell>
          <cell r="BE283">
            <v>0.61768416473511367</v>
          </cell>
          <cell r="BF283">
            <v>1.1189344478537291</v>
          </cell>
          <cell r="BG283">
            <v>1.8003932891262759</v>
          </cell>
          <cell r="BH283">
            <v>2.6834943082006717</v>
          </cell>
          <cell r="BI283">
            <v>3.7924936217161576</v>
          </cell>
          <cell r="BJ283">
            <v>5.1527070104013175</v>
          </cell>
          <cell r="BL283">
            <v>157388.48530122053</v>
          </cell>
        </row>
        <row r="284">
          <cell r="A284">
            <v>10000673</v>
          </cell>
          <cell r="B284" t="str">
            <v/>
          </cell>
          <cell r="C284" t="str">
            <v>LSPL</v>
          </cell>
          <cell r="D284" t="str">
            <v>RPH</v>
          </cell>
          <cell r="E284">
            <v>38</v>
          </cell>
          <cell r="F284" t="str">
            <v>M</v>
          </cell>
          <cell r="G284">
            <v>34957</v>
          </cell>
          <cell r="H284">
            <v>2</v>
          </cell>
          <cell r="I284">
            <v>100000000</v>
          </cell>
          <cell r="J284">
            <v>644800</v>
          </cell>
          <cell r="K284">
            <v>644800</v>
          </cell>
          <cell r="L284">
            <v>1289600</v>
          </cell>
          <cell r="M284">
            <v>20</v>
          </cell>
          <cell r="N284">
            <v>47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U284">
            <v>0</v>
          </cell>
          <cell r="W284">
            <v>7070286.9285766715</v>
          </cell>
          <cell r="X284">
            <v>0</v>
          </cell>
          <cell r="Y284">
            <v>0</v>
          </cell>
          <cell r="Z284">
            <v>0</v>
          </cell>
          <cell r="AB284">
            <v>970404.30046240392</v>
          </cell>
          <cell r="AC284">
            <v>0</v>
          </cell>
          <cell r="AD284">
            <v>0</v>
          </cell>
          <cell r="AE284">
            <v>0</v>
          </cell>
          <cell r="AH284">
            <v>97</v>
          </cell>
          <cell r="AI284">
            <v>96</v>
          </cell>
          <cell r="AJ284">
            <v>1</v>
          </cell>
          <cell r="AK284">
            <v>9.7040430046240397E-3</v>
          </cell>
          <cell r="AL284">
            <v>0</v>
          </cell>
          <cell r="AM284">
            <v>0</v>
          </cell>
          <cell r="AN284">
            <v>7.6997361097585204E-3</v>
          </cell>
          <cell r="AO284">
            <v>1.5870110081433492E-2</v>
          </cell>
          <cell r="AP284">
            <v>2.4539752818441854E-2</v>
          </cell>
          <cell r="AQ284">
            <v>3.3740916246416008E-2</v>
          </cell>
          <cell r="AR284">
            <v>4.3500311840350261E-2</v>
          </cell>
          <cell r="AS284">
            <v>5.3858106707333056E-2</v>
          </cell>
          <cell r="AT284">
            <v>6.48595287570541E-2</v>
          </cell>
          <cell r="AU284">
            <v>7.6546209814479349E-2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>
            <v>0.28036468454822633</v>
          </cell>
          <cell r="BD284">
            <v>0.35045585568528287</v>
          </cell>
          <cell r="BE284">
            <v>0.55858595202169659</v>
          </cell>
          <cell r="BF284">
            <v>0.86669578266677849</v>
          </cell>
          <cell r="BG284">
            <v>1.2842681334272097</v>
          </cell>
          <cell r="BH284">
            <v>1.8220313416857772</v>
          </cell>
          <cell r="BI284">
            <v>2.4919361459161675</v>
          </cell>
          <cell r="BJ284">
            <v>3.3068439446859066</v>
          </cell>
          <cell r="BL284">
            <v>249193.61459161676</v>
          </cell>
        </row>
        <row r="285">
          <cell r="A285">
            <v>10000691</v>
          </cell>
          <cell r="B285" t="str">
            <v/>
          </cell>
          <cell r="C285" t="str">
            <v>LSPL</v>
          </cell>
          <cell r="D285" t="str">
            <v>RPH</v>
          </cell>
          <cell r="E285">
            <v>42</v>
          </cell>
          <cell r="F285" t="str">
            <v>M</v>
          </cell>
          <cell r="G285">
            <v>34967</v>
          </cell>
          <cell r="H285">
            <v>2</v>
          </cell>
          <cell r="I285">
            <v>50000000</v>
          </cell>
          <cell r="J285">
            <v>462800</v>
          </cell>
          <cell r="K285">
            <v>462800</v>
          </cell>
          <cell r="L285">
            <v>925600</v>
          </cell>
          <cell r="M285">
            <v>20</v>
          </cell>
          <cell r="N285">
            <v>43</v>
          </cell>
          <cell r="O285">
            <v>50000000</v>
          </cell>
          <cell r="P285">
            <v>130000</v>
          </cell>
          <cell r="Q285">
            <v>0</v>
          </cell>
          <cell r="R285">
            <v>0</v>
          </cell>
          <cell r="T285">
            <v>27300</v>
          </cell>
          <cell r="U285">
            <v>54600</v>
          </cell>
          <cell r="W285">
            <v>4375803.7803205904</v>
          </cell>
          <cell r="X285">
            <v>130000</v>
          </cell>
          <cell r="Y285">
            <v>0</v>
          </cell>
          <cell r="Z285">
            <v>109200</v>
          </cell>
          <cell r="AB285">
            <v>621436.25273821317</v>
          </cell>
          <cell r="AC285">
            <v>130000</v>
          </cell>
          <cell r="AD285">
            <v>0</v>
          </cell>
          <cell r="AE285">
            <v>54600</v>
          </cell>
          <cell r="AH285">
            <v>97</v>
          </cell>
          <cell r="AI285">
            <v>96</v>
          </cell>
          <cell r="AJ285">
            <v>1</v>
          </cell>
          <cell r="AK285">
            <v>1.2428725054764262E-2</v>
          </cell>
          <cell r="AL285">
            <v>0</v>
          </cell>
          <cell r="AM285">
            <v>1.3877787807814457E-17</v>
          </cell>
          <cell r="AN285">
            <v>9.5558202653624469E-3</v>
          </cell>
          <cell r="AO285">
            <v>1.9679152294464888E-2</v>
          </cell>
          <cell r="AP285">
            <v>3.0411432385844858E-2</v>
          </cell>
          <cell r="AQ285">
            <v>4.1789735053739133E-2</v>
          </cell>
          <cell r="AR285">
            <v>5.3866000501039346E-2</v>
          </cell>
          <cell r="AS285">
            <v>6.6689386493190339E-2</v>
          </cell>
          <cell r="AT285">
            <v>8.0297463199539523E-2</v>
          </cell>
          <cell r="AU285">
            <v>9.473468801328408E-2</v>
          </cell>
          <cell r="AW285">
            <v>0</v>
          </cell>
          <cell r="AY285">
            <v>1</v>
          </cell>
          <cell r="AZ285">
            <v>0</v>
          </cell>
          <cell r="BA285">
            <v>1</v>
          </cell>
          <cell r="BC285">
            <v>0.32081503089796953</v>
          </cell>
          <cell r="BD285">
            <v>0.40101878862246187</v>
          </cell>
          <cell r="BE285">
            <v>0.66261314979394936</v>
          </cell>
          <cell r="BF285">
            <v>1.0495532657032518</v>
          </cell>
          <cell r="BG285">
            <v>1.5743329560021562</v>
          </cell>
          <cell r="BH285">
            <v>2.2505834460824299</v>
          </cell>
          <cell r="BI285">
            <v>3.0925857102606393</v>
          </cell>
          <cell r="BJ285">
            <v>4.115985499509379</v>
          </cell>
          <cell r="BL285">
            <v>154629.28551303197</v>
          </cell>
        </row>
        <row r="286">
          <cell r="A286">
            <v>10000698</v>
          </cell>
          <cell r="B286" t="str">
            <v/>
          </cell>
          <cell r="C286" t="str">
            <v>LSPL</v>
          </cell>
          <cell r="D286" t="str">
            <v>RPH</v>
          </cell>
          <cell r="E286">
            <v>31</v>
          </cell>
          <cell r="F286" t="str">
            <v>M</v>
          </cell>
          <cell r="G286">
            <v>34961</v>
          </cell>
          <cell r="H286">
            <v>1</v>
          </cell>
          <cell r="I286">
            <v>100000000</v>
          </cell>
          <cell r="J286">
            <v>840000</v>
          </cell>
          <cell r="K286">
            <v>840000</v>
          </cell>
          <cell r="L286">
            <v>840000</v>
          </cell>
          <cell r="M286">
            <v>20</v>
          </cell>
          <cell r="N286">
            <v>54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T286">
            <v>27700</v>
          </cell>
          <cell r="U286">
            <v>27700</v>
          </cell>
          <cell r="W286">
            <v>5165314.8460340602</v>
          </cell>
          <cell r="X286">
            <v>0</v>
          </cell>
          <cell r="Y286">
            <v>0</v>
          </cell>
          <cell r="Z286">
            <v>55400</v>
          </cell>
          <cell r="AB286">
            <v>629743.24863206549</v>
          </cell>
          <cell r="AC286">
            <v>0</v>
          </cell>
          <cell r="AD286">
            <v>0</v>
          </cell>
          <cell r="AE286">
            <v>27700</v>
          </cell>
          <cell r="AH286">
            <v>97</v>
          </cell>
          <cell r="AI286">
            <v>96</v>
          </cell>
          <cell r="AJ286">
            <v>1</v>
          </cell>
          <cell r="AK286">
            <v>6.2974324863206551E-3</v>
          </cell>
          <cell r="AL286">
            <v>0</v>
          </cell>
          <cell r="AM286">
            <v>0</v>
          </cell>
          <cell r="AN286">
            <v>5.0035580636684784E-3</v>
          </cell>
          <cell r="AO286">
            <v>1.0388336956553425E-2</v>
          </cell>
          <cell r="AP286">
            <v>1.6170638501661186E-2</v>
          </cell>
          <cell r="AQ286">
            <v>2.2368737537356298E-2</v>
          </cell>
          <cell r="AR286">
            <v>2.8993389990586059E-2</v>
          </cell>
          <cell r="AS286">
            <v>3.6066802838897134E-2</v>
          </cell>
          <cell r="AT286">
            <v>4.3613901761207441E-2</v>
          </cell>
          <cell r="AU286">
            <v>5.1653148460340602E-2</v>
          </cell>
          <cell r="AW286">
            <v>0</v>
          </cell>
          <cell r="AY286">
            <v>0</v>
          </cell>
          <cell r="AZ286">
            <v>0</v>
          </cell>
          <cell r="BA286">
            <v>1</v>
          </cell>
          <cell r="BC286">
            <v>0.20846971170588305</v>
          </cell>
          <cell r="BD286">
            <v>0.2605871396323538</v>
          </cell>
          <cell r="BE286">
            <v>0.39535372801958457</v>
          </cell>
          <cell r="BF286">
            <v>0.59674487885485306</v>
          </cell>
          <cell r="BG286">
            <v>0.87158202339835333</v>
          </cell>
          <cell r="BH286">
            <v>1.2274550014953074</v>
          </cell>
          <cell r="BI286">
            <v>1.6726184329396871</v>
          </cell>
          <cell r="BJ286">
            <v>2.2155782728341316</v>
          </cell>
          <cell r="BL286">
            <v>167261.8432939687</v>
          </cell>
        </row>
        <row r="287">
          <cell r="A287">
            <v>10000756</v>
          </cell>
          <cell r="B287" t="str">
            <v/>
          </cell>
          <cell r="C287" t="str">
            <v>LSPL</v>
          </cell>
          <cell r="D287" t="str">
            <v>RPH</v>
          </cell>
          <cell r="E287">
            <v>33</v>
          </cell>
          <cell r="F287" t="str">
            <v>F</v>
          </cell>
          <cell r="G287">
            <v>34985</v>
          </cell>
          <cell r="H287">
            <v>1</v>
          </cell>
          <cell r="I287">
            <v>100000000</v>
          </cell>
          <cell r="J287">
            <v>820000</v>
          </cell>
          <cell r="K287">
            <v>820000</v>
          </cell>
          <cell r="L287">
            <v>820000</v>
          </cell>
          <cell r="M287">
            <v>20</v>
          </cell>
          <cell r="N287">
            <v>52</v>
          </cell>
          <cell r="O287">
            <v>100000000</v>
          </cell>
          <cell r="P287">
            <v>250000</v>
          </cell>
          <cell r="Q287">
            <v>0</v>
          </cell>
          <cell r="R287">
            <v>0</v>
          </cell>
          <cell r="T287">
            <v>29500</v>
          </cell>
          <cell r="U287">
            <v>29500</v>
          </cell>
          <cell r="W287">
            <v>4841806.1162206838</v>
          </cell>
          <cell r="X287">
            <v>250000</v>
          </cell>
          <cell r="Y287">
            <v>0</v>
          </cell>
          <cell r="Z287">
            <v>59000</v>
          </cell>
          <cell r="AB287">
            <v>611540.85470742197</v>
          </cell>
          <cell r="AC287">
            <v>250000</v>
          </cell>
          <cell r="AD287">
            <v>0</v>
          </cell>
          <cell r="AE287">
            <v>29500</v>
          </cell>
          <cell r="AH287">
            <v>96</v>
          </cell>
          <cell r="AI287">
            <v>96</v>
          </cell>
          <cell r="AJ287">
            <v>1</v>
          </cell>
          <cell r="AK287">
            <v>6.1154085470742194E-3</v>
          </cell>
          <cell r="AL287">
            <v>0</v>
          </cell>
          <cell r="AM287">
            <v>1.3877787807814457E-17</v>
          </cell>
          <cell r="AN287">
            <v>4.8232255183581624E-3</v>
          </cell>
          <cell r="AO287">
            <v>9.9876369615811075E-3</v>
          </cell>
          <cell r="AP287">
            <v>1.5491743824258483E-2</v>
          </cell>
          <cell r="AQ287">
            <v>2.1345909765363769E-2</v>
          </cell>
          <cell r="AR287">
            <v>2.7550822700762916E-2</v>
          </cell>
          <cell r="AS287">
            <v>3.4119222144824851E-2</v>
          </cell>
          <cell r="AT287">
            <v>4.1065728190339795E-2</v>
          </cell>
          <cell r="AU287">
            <v>4.8418061162206837E-2</v>
          </cell>
          <cell r="AW287">
            <v>0</v>
          </cell>
          <cell r="AY287">
            <v>1</v>
          </cell>
          <cell r="AZ287">
            <v>0</v>
          </cell>
          <cell r="BA287">
            <v>1</v>
          </cell>
          <cell r="BC287">
            <v>0.19523486594934092</v>
          </cell>
          <cell r="BD287">
            <v>0.24404358243667615</v>
          </cell>
          <cell r="BE287">
            <v>0.37245234616374923</v>
          </cell>
          <cell r="BF287">
            <v>0.56286167155079458</v>
          </cell>
          <cell r="BG287">
            <v>0.82065094405716532</v>
          </cell>
          <cell r="BH287">
            <v>1.1517571950877796</v>
          </cell>
          <cell r="BI287">
            <v>1.5625127968038743</v>
          </cell>
          <cell r="BJ287">
            <v>2.0603116617220563</v>
          </cell>
          <cell r="BL287">
            <v>156251.27968038744</v>
          </cell>
        </row>
        <row r="288">
          <cell r="A288">
            <v>10000818</v>
          </cell>
          <cell r="B288" t="str">
            <v/>
          </cell>
          <cell r="C288" t="str">
            <v>LSPL</v>
          </cell>
          <cell r="D288" t="str">
            <v>RPH</v>
          </cell>
          <cell r="E288">
            <v>38</v>
          </cell>
          <cell r="F288" t="str">
            <v>F</v>
          </cell>
          <cell r="G288">
            <v>35024</v>
          </cell>
          <cell r="H288">
            <v>1</v>
          </cell>
          <cell r="I288">
            <v>95000000</v>
          </cell>
          <cell r="J288">
            <v>1016500</v>
          </cell>
          <cell r="K288">
            <v>1016500</v>
          </cell>
          <cell r="L288">
            <v>1016500</v>
          </cell>
          <cell r="M288">
            <v>20</v>
          </cell>
          <cell r="N288">
            <v>47</v>
          </cell>
          <cell r="O288">
            <v>95000000</v>
          </cell>
          <cell r="P288">
            <v>237500</v>
          </cell>
          <cell r="Q288">
            <v>0</v>
          </cell>
          <cell r="R288">
            <v>0</v>
          </cell>
          <cell r="T288">
            <v>44200</v>
          </cell>
          <cell r="U288">
            <v>44200</v>
          </cell>
          <cell r="W288">
            <v>5027107.1973684179</v>
          </cell>
          <cell r="X288">
            <v>237500</v>
          </cell>
          <cell r="Y288">
            <v>0</v>
          </cell>
          <cell r="Z288">
            <v>88400</v>
          </cell>
          <cell r="AB288">
            <v>784539.90680952393</v>
          </cell>
          <cell r="AC288">
            <v>237500</v>
          </cell>
          <cell r="AD288">
            <v>0</v>
          </cell>
          <cell r="AE288">
            <v>44200</v>
          </cell>
          <cell r="AH288">
            <v>95</v>
          </cell>
          <cell r="AI288">
            <v>84</v>
          </cell>
          <cell r="AJ288">
            <v>1</v>
          </cell>
          <cell r="AK288">
            <v>8.2583148085213047E-3</v>
          </cell>
          <cell r="AL288">
            <v>0</v>
          </cell>
          <cell r="AM288">
            <v>0</v>
          </cell>
          <cell r="AN288">
            <v>6.3505062920754668E-3</v>
          </cell>
          <cell r="AO288">
            <v>1.3052090055667501E-2</v>
          </cell>
          <cell r="AP288">
            <v>2.0129500848399012E-2</v>
          </cell>
          <cell r="AQ288">
            <v>2.7610339700195732E-2</v>
          </cell>
          <cell r="AR288">
            <v>3.5547648761945522E-2</v>
          </cell>
          <cell r="AS288">
            <v>4.3966431494802297E-2</v>
          </cell>
          <cell r="AT288">
            <v>5.2916917867035979E-2</v>
          </cell>
          <cell r="AU288">
            <v>6.2454548721996302E-2</v>
          </cell>
          <cell r="AW288">
            <v>0</v>
          </cell>
          <cell r="AY288">
            <v>1</v>
          </cell>
          <cell r="AZ288">
            <v>0</v>
          </cell>
          <cell r="BA288">
            <v>1</v>
          </cell>
          <cell r="BC288">
            <v>0.23573646360674541</v>
          </cell>
          <cell r="BD288">
            <v>0.29467057950843178</v>
          </cell>
          <cell r="BE288">
            <v>0.46192676239073049</v>
          </cell>
          <cell r="BF288">
            <v>0.7084489917766259</v>
          </cell>
          <cell r="BG288">
            <v>1.0424758864008132</v>
          </cell>
          <cell r="BH288">
            <v>1.4722288765511022</v>
          </cell>
          <cell r="BI288">
            <v>2.0077613706941051</v>
          </cell>
          <cell r="BJ288">
            <v>2.6605839711572328</v>
          </cell>
          <cell r="BL288">
            <v>139861.74327235471</v>
          </cell>
        </row>
        <row r="289">
          <cell r="A289">
            <v>10000866</v>
          </cell>
          <cell r="B289" t="str">
            <v/>
          </cell>
          <cell r="C289" t="str">
            <v>LSPL</v>
          </cell>
          <cell r="D289" t="str">
            <v>RPH</v>
          </cell>
          <cell r="E289">
            <v>35</v>
          </cell>
          <cell r="F289" t="str">
            <v>M</v>
          </cell>
          <cell r="G289">
            <v>35026</v>
          </cell>
          <cell r="H289">
            <v>1</v>
          </cell>
          <cell r="I289">
            <v>100000000</v>
          </cell>
          <cell r="J289">
            <v>1190000</v>
          </cell>
          <cell r="K289">
            <v>1190000</v>
          </cell>
          <cell r="L289">
            <v>1190000</v>
          </cell>
          <cell r="M289">
            <v>20</v>
          </cell>
          <cell r="N289">
            <v>50</v>
          </cell>
          <cell r="O289">
            <v>100000000</v>
          </cell>
          <cell r="P289">
            <v>250000</v>
          </cell>
          <cell r="Q289">
            <v>0</v>
          </cell>
          <cell r="R289">
            <v>0</v>
          </cell>
          <cell r="T289">
            <v>0</v>
          </cell>
          <cell r="U289">
            <v>0</v>
          </cell>
          <cell r="W289">
            <v>5506089.7669044016</v>
          </cell>
          <cell r="X289">
            <v>250000</v>
          </cell>
          <cell r="Y289">
            <v>0</v>
          </cell>
          <cell r="Z289">
            <v>0</v>
          </cell>
          <cell r="AB289">
            <v>804981.97267708252</v>
          </cell>
          <cell r="AC289">
            <v>250000</v>
          </cell>
          <cell r="AD289">
            <v>0</v>
          </cell>
          <cell r="AE289">
            <v>0</v>
          </cell>
          <cell r="AH289">
            <v>95</v>
          </cell>
          <cell r="AI289">
            <v>84</v>
          </cell>
          <cell r="AJ289">
            <v>1</v>
          </cell>
          <cell r="AK289">
            <v>8.0498197267708255E-3</v>
          </cell>
          <cell r="AL289">
            <v>0</v>
          </cell>
          <cell r="AM289">
            <v>0</v>
          </cell>
          <cell r="AN289">
            <v>6.4693123067318115E-3</v>
          </cell>
          <cell r="AO289">
            <v>1.3369143082794119E-2</v>
          </cell>
          <cell r="AP289">
            <v>2.0722204971750091E-2</v>
          </cell>
          <cell r="AQ289">
            <v>2.8544285348899565E-2</v>
          </cell>
          <cell r="AR289">
            <v>3.6853663572734938E-2</v>
          </cell>
          <cell r="AS289">
            <v>4.5681025905056571E-2</v>
          </cell>
          <cell r="AT289">
            <v>5.5060897669044012E-2</v>
          </cell>
          <cell r="AU289">
            <v>6.502272353729352E-2</v>
          </cell>
          <cell r="AW289">
            <v>0</v>
          </cell>
          <cell r="AY289">
            <v>1</v>
          </cell>
          <cell r="AZ289">
            <v>0</v>
          </cell>
          <cell r="BA289">
            <v>0</v>
          </cell>
          <cell r="BC289">
            <v>0.25053185522269711</v>
          </cell>
          <cell r="BD289">
            <v>0.31316481902837134</v>
          </cell>
          <cell r="BE289">
            <v>0.48767249426225812</v>
          </cell>
          <cell r="BF289">
            <v>0.746557783531269</v>
          </cell>
          <cell r="BG289">
            <v>1.0978787983719966</v>
          </cell>
          <cell r="BH289">
            <v>1.5506867093882037</v>
          </cell>
          <cell r="BI289">
            <v>2.1149603100158902</v>
          </cell>
          <cell r="BJ289">
            <v>2.8012412453396784</v>
          </cell>
          <cell r="BL289">
            <v>155068.67093882037</v>
          </cell>
        </row>
        <row r="290">
          <cell r="A290">
            <v>10000873</v>
          </cell>
          <cell r="B290" t="str">
            <v/>
          </cell>
          <cell r="C290" t="str">
            <v>LSPL</v>
          </cell>
          <cell r="D290" t="str">
            <v>RPH</v>
          </cell>
          <cell r="E290">
            <v>36</v>
          </cell>
          <cell r="F290" t="str">
            <v>M</v>
          </cell>
          <cell r="G290">
            <v>35034</v>
          </cell>
          <cell r="H290">
            <v>1</v>
          </cell>
          <cell r="I290">
            <v>150000000</v>
          </cell>
          <cell r="J290">
            <v>1890000</v>
          </cell>
          <cell r="K290">
            <v>1890000</v>
          </cell>
          <cell r="L290">
            <v>1890000</v>
          </cell>
          <cell r="M290">
            <v>20</v>
          </cell>
          <cell r="N290">
            <v>49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T290">
            <v>0</v>
          </cell>
          <cell r="U290">
            <v>0</v>
          </cell>
          <cell r="W290">
            <v>8728807.0677638371</v>
          </cell>
          <cell r="X290">
            <v>0</v>
          </cell>
          <cell r="Y290">
            <v>0</v>
          </cell>
          <cell r="Z290">
            <v>0</v>
          </cell>
          <cell r="AB290">
            <v>1285038.0296114606</v>
          </cell>
          <cell r="AC290">
            <v>0</v>
          </cell>
          <cell r="AD290">
            <v>0</v>
          </cell>
          <cell r="AE290">
            <v>0</v>
          </cell>
          <cell r="AH290">
            <v>94</v>
          </cell>
          <cell r="AI290">
            <v>84</v>
          </cell>
          <cell r="AJ290">
            <v>1</v>
          </cell>
          <cell r="AK290">
            <v>8.5669201974097383E-3</v>
          </cell>
          <cell r="AL290">
            <v>0</v>
          </cell>
          <cell r="AM290">
            <v>1.3877787807814457E-17</v>
          </cell>
          <cell r="AN290">
            <v>6.8650369572001158E-3</v>
          </cell>
          <cell r="AO290">
            <v>1.4178832569811756E-2</v>
          </cell>
          <cell r="AP290">
            <v>2.1956544495307803E-2</v>
          </cell>
          <cell r="AQ290">
            <v>3.0215756146925038E-2</v>
          </cell>
          <cell r="AR290">
            <v>3.8986450877325343E-2</v>
          </cell>
          <cell r="AS290">
            <v>4.8302376287487792E-2</v>
          </cell>
          <cell r="AT290">
            <v>5.8192047118425586E-2</v>
          </cell>
          <cell r="AU290">
            <v>6.8697482372227128E-2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C290">
            <v>0.26035396079201234</v>
          </cell>
          <cell r="BD290">
            <v>0.3254424509900154</v>
          </cell>
          <cell r="BE290">
            <v>0.51076499926717378</v>
          </cell>
          <cell r="BF290">
            <v>0.78523369259151043</v>
          </cell>
          <cell r="BG290">
            <v>1.1575789425551009</v>
          </cell>
          <cell r="BH290">
            <v>1.6374124869819597</v>
          </cell>
          <cell r="BI290">
            <v>2.2349042045939576</v>
          </cell>
          <cell r="BJ290">
            <v>2.9616745989892173</v>
          </cell>
          <cell r="BL290">
            <v>245611.87304729395</v>
          </cell>
        </row>
        <row r="291">
          <cell r="A291">
            <v>10000875</v>
          </cell>
          <cell r="B291" t="str">
            <v/>
          </cell>
          <cell r="C291" t="str">
            <v>LSPL</v>
          </cell>
          <cell r="D291" t="str">
            <v>RPH</v>
          </cell>
          <cell r="E291">
            <v>44</v>
          </cell>
          <cell r="F291" t="str">
            <v>M</v>
          </cell>
          <cell r="G291">
            <v>35031</v>
          </cell>
          <cell r="H291">
            <v>1</v>
          </cell>
          <cell r="I291">
            <v>50000000</v>
          </cell>
          <cell r="J291">
            <v>1005000</v>
          </cell>
          <cell r="K291">
            <v>1005000</v>
          </cell>
          <cell r="L291">
            <v>1005000</v>
          </cell>
          <cell r="M291">
            <v>20</v>
          </cell>
          <cell r="N291">
            <v>41</v>
          </cell>
          <cell r="O291">
            <v>50000000</v>
          </cell>
          <cell r="P291">
            <v>125000</v>
          </cell>
          <cell r="Q291">
            <v>0</v>
          </cell>
          <cell r="R291">
            <v>0</v>
          </cell>
          <cell r="T291">
            <v>0</v>
          </cell>
          <cell r="U291">
            <v>0</v>
          </cell>
          <cell r="W291">
            <v>4460492.7890719539</v>
          </cell>
          <cell r="X291">
            <v>125000</v>
          </cell>
          <cell r="Y291">
            <v>0</v>
          </cell>
          <cell r="Z291">
            <v>0</v>
          </cell>
          <cell r="AB291">
            <v>702527.12316411454</v>
          </cell>
          <cell r="AC291">
            <v>125000</v>
          </cell>
          <cell r="AD291">
            <v>0</v>
          </cell>
          <cell r="AE291">
            <v>0</v>
          </cell>
          <cell r="AH291">
            <v>95</v>
          </cell>
          <cell r="AI291">
            <v>84</v>
          </cell>
          <cell r="AJ291">
            <v>1</v>
          </cell>
          <cell r="AK291">
            <v>1.4050542463282292E-2</v>
          </cell>
          <cell r="AL291">
            <v>0</v>
          </cell>
          <cell r="AM291">
            <v>2.7755575615628914E-17</v>
          </cell>
          <cell r="AN291">
            <v>1.063539671142269E-2</v>
          </cell>
          <cell r="AO291">
            <v>2.189980067990957E-2</v>
          </cell>
          <cell r="AP291">
            <v>3.3843025959635939E-2</v>
          </cell>
          <cell r="AQ291">
            <v>4.65116642163525E-2</v>
          </cell>
          <cell r="AR291">
            <v>5.9940017795762468E-2</v>
          </cell>
          <cell r="AS291">
            <v>7.4168892932888947E-2</v>
          </cell>
          <cell r="AT291">
            <v>8.9209855781439085E-2</v>
          </cell>
          <cell r="AU291">
            <v>0.10509931135029425</v>
          </cell>
          <cell r="AW291">
            <v>0</v>
          </cell>
          <cell r="AY291">
            <v>1</v>
          </cell>
          <cell r="AZ291">
            <v>0</v>
          </cell>
          <cell r="BA291">
            <v>0</v>
          </cell>
          <cell r="BC291">
            <v>0.3407942347348103</v>
          </cell>
          <cell r="BD291">
            <v>0.42599279341851287</v>
          </cell>
          <cell r="BE291">
            <v>0.71950730397204188</v>
          </cell>
          <cell r="BF291">
            <v>1.1539233431029856</v>
          </cell>
          <cell r="BG291">
            <v>1.7424943577198728</v>
          </cell>
          <cell r="BH291">
            <v>2.4996491262232579</v>
          </cell>
          <cell r="BI291">
            <v>3.4394244644728316</v>
          </cell>
          <cell r="BJ291">
            <v>4.5776419348982031</v>
          </cell>
          <cell r="BL291">
            <v>124982.4563111629</v>
          </cell>
        </row>
        <row r="292">
          <cell r="A292">
            <v>10000921</v>
          </cell>
          <cell r="B292" t="str">
            <v/>
          </cell>
          <cell r="C292" t="str">
            <v>LSPL</v>
          </cell>
          <cell r="D292" t="str">
            <v>RPH</v>
          </cell>
          <cell r="E292">
            <v>29</v>
          </cell>
          <cell r="F292" t="str">
            <v>M</v>
          </cell>
          <cell r="G292">
            <v>35046</v>
          </cell>
          <cell r="H292">
            <v>1</v>
          </cell>
          <cell r="I292">
            <v>150000000</v>
          </cell>
          <cell r="J292">
            <v>1305000</v>
          </cell>
          <cell r="K292">
            <v>1305000</v>
          </cell>
          <cell r="L292">
            <v>1305000</v>
          </cell>
          <cell r="M292">
            <v>20</v>
          </cell>
          <cell r="N292">
            <v>56</v>
          </cell>
          <cell r="O292">
            <v>150000000</v>
          </cell>
          <cell r="P292">
            <v>375000</v>
          </cell>
          <cell r="Q292">
            <v>0</v>
          </cell>
          <cell r="R292">
            <v>0</v>
          </cell>
          <cell r="T292">
            <v>0</v>
          </cell>
          <cell r="U292">
            <v>0</v>
          </cell>
          <cell r="W292">
            <v>5770986.3332692897</v>
          </cell>
          <cell r="X292">
            <v>375000</v>
          </cell>
          <cell r="Y292">
            <v>0</v>
          </cell>
          <cell r="Z292">
            <v>0</v>
          </cell>
          <cell r="AB292">
            <v>839298.00473413628</v>
          </cell>
          <cell r="AC292">
            <v>375000</v>
          </cell>
          <cell r="AD292">
            <v>0</v>
          </cell>
          <cell r="AE292">
            <v>0</v>
          </cell>
          <cell r="AH292">
            <v>94</v>
          </cell>
          <cell r="AI292">
            <v>84</v>
          </cell>
          <cell r="AJ292">
            <v>1</v>
          </cell>
          <cell r="AK292">
            <v>5.5953200315609084E-3</v>
          </cell>
          <cell r="AL292">
            <v>0</v>
          </cell>
          <cell r="AM292">
            <v>0</v>
          </cell>
          <cell r="AN292">
            <v>4.3565227492124783E-3</v>
          </cell>
          <cell r="AO292">
            <v>9.0638235133670628E-3</v>
          </cell>
          <cell r="AP292">
            <v>1.4134898724586453E-2</v>
          </cell>
          <cell r="AQ292">
            <v>1.9594147030910947E-2</v>
          </cell>
          <cell r="AR292">
            <v>2.5458709452471869E-2</v>
          </cell>
          <cell r="AS292">
            <v>3.1747784830678312E-2</v>
          </cell>
          <cell r="AT292">
            <v>3.8473242221795267E-2</v>
          </cell>
          <cell r="AU292">
            <v>4.5658422327754328E-2</v>
          </cell>
          <cell r="AW292">
            <v>0</v>
          </cell>
          <cell r="AY292">
            <v>1</v>
          </cell>
          <cell r="AZ292">
            <v>0</v>
          </cell>
          <cell r="BA292">
            <v>0</v>
          </cell>
          <cell r="BC292">
            <v>0.19038533502121613</v>
          </cell>
          <cell r="BD292">
            <v>0.23798166877652016</v>
          </cell>
          <cell r="BE292">
            <v>0.35490664237593661</v>
          </cell>
          <cell r="BF292">
            <v>0.53037238450196234</v>
          </cell>
          <cell r="BG292">
            <v>0.77095687325163209</v>
          </cell>
          <cell r="BH292">
            <v>1.0837330388277429</v>
          </cell>
          <cell r="BI292">
            <v>1.4758747842606401</v>
          </cell>
          <cell r="BJ292">
            <v>1.9554813652990244</v>
          </cell>
          <cell r="BL292">
            <v>162559.95582416144</v>
          </cell>
        </row>
        <row r="293">
          <cell r="A293">
            <v>10000926</v>
          </cell>
          <cell r="B293" t="str">
            <v/>
          </cell>
          <cell r="C293" t="str">
            <v>LSPL</v>
          </cell>
          <cell r="D293" t="str">
            <v>RPH</v>
          </cell>
          <cell r="E293">
            <v>48</v>
          </cell>
          <cell r="F293" t="str">
            <v>F</v>
          </cell>
          <cell r="G293">
            <v>35041</v>
          </cell>
          <cell r="H293">
            <v>2</v>
          </cell>
          <cell r="I293">
            <v>95109000</v>
          </cell>
          <cell r="J293">
            <v>910000</v>
          </cell>
          <cell r="K293">
            <v>910000</v>
          </cell>
          <cell r="L293">
            <v>1820000</v>
          </cell>
          <cell r="M293">
            <v>20</v>
          </cell>
          <cell r="N293">
            <v>37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T293">
            <v>0</v>
          </cell>
          <cell r="U293">
            <v>0</v>
          </cell>
          <cell r="W293">
            <v>8412115.6843496338</v>
          </cell>
          <cell r="X293">
            <v>0</v>
          </cell>
          <cell r="Y293">
            <v>0</v>
          </cell>
          <cell r="Z293">
            <v>0</v>
          </cell>
          <cell r="AB293">
            <v>1397388.5756190245</v>
          </cell>
          <cell r="AC293">
            <v>0</v>
          </cell>
          <cell r="AD293">
            <v>0</v>
          </cell>
          <cell r="AE293">
            <v>0</v>
          </cell>
          <cell r="AH293">
            <v>94</v>
          </cell>
          <cell r="AI293">
            <v>84</v>
          </cell>
          <cell r="AJ293">
            <v>2</v>
          </cell>
          <cell r="AK293">
            <v>1.469249572195086E-2</v>
          </cell>
          <cell r="AL293">
            <v>0</v>
          </cell>
          <cell r="AM293">
            <v>0</v>
          </cell>
          <cell r="AN293">
            <v>1.056451496762556E-2</v>
          </cell>
          <cell r="AO293">
            <v>2.175900892479013E-2</v>
          </cell>
          <cell r="AP293">
            <v>3.3619785206377928E-2</v>
          </cell>
          <cell r="AQ293">
            <v>4.6166689030799998E-2</v>
          </cell>
          <cell r="AR293">
            <v>5.9435590306577829E-2</v>
          </cell>
          <cell r="AS293">
            <v>7.3501118834716814E-2</v>
          </cell>
          <cell r="AT293">
            <v>8.8447104736140994E-2</v>
          </cell>
          <cell r="AU293">
            <v>0.10438852960992112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C293">
            <v>0.24838934806472598</v>
          </cell>
          <cell r="BD293">
            <v>0.31048668508090743</v>
          </cell>
          <cell r="BE293">
            <v>0.59992718164696335</v>
          </cell>
          <cell r="BF293">
            <v>1.0270539731556516</v>
          </cell>
          <cell r="BG293">
            <v>1.6043285890885928</v>
          </cell>
          <cell r="BH293">
            <v>2.3468005118269395</v>
          </cell>
          <cell r="BI293">
            <v>3.2717529786664086</v>
          </cell>
          <cell r="BJ293">
            <v>4.4002090353512395</v>
          </cell>
          <cell r="BL293">
            <v>223201.84987934839</v>
          </cell>
        </row>
        <row r="294">
          <cell r="A294">
            <v>10001004</v>
          </cell>
          <cell r="B294" t="str">
            <v/>
          </cell>
          <cell r="C294" t="str">
            <v>LSPL</v>
          </cell>
          <cell r="D294" t="str">
            <v>RPH</v>
          </cell>
          <cell r="E294">
            <v>35</v>
          </cell>
          <cell r="F294" t="str">
            <v>M</v>
          </cell>
          <cell r="G294">
            <v>35068</v>
          </cell>
          <cell r="H294">
            <v>1</v>
          </cell>
          <cell r="I294">
            <v>100000000</v>
          </cell>
          <cell r="J294">
            <v>1040000</v>
          </cell>
          <cell r="K294">
            <v>1040000</v>
          </cell>
          <cell r="L294">
            <v>1040000</v>
          </cell>
          <cell r="M294">
            <v>20</v>
          </cell>
          <cell r="N294">
            <v>50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T294">
            <v>40600</v>
          </cell>
          <cell r="U294">
            <v>40600</v>
          </cell>
          <cell r="W294">
            <v>5506089.7669044016</v>
          </cell>
          <cell r="X294">
            <v>0</v>
          </cell>
          <cell r="Y294">
            <v>0</v>
          </cell>
          <cell r="Z294">
            <v>81200</v>
          </cell>
          <cell r="AB294">
            <v>804981.97267708252</v>
          </cell>
          <cell r="AC294">
            <v>0</v>
          </cell>
          <cell r="AD294">
            <v>0</v>
          </cell>
          <cell r="AE294">
            <v>40600</v>
          </cell>
          <cell r="AH294">
            <v>93</v>
          </cell>
          <cell r="AI294">
            <v>84</v>
          </cell>
          <cell r="AJ294">
            <v>1</v>
          </cell>
          <cell r="AK294">
            <v>8.0498197267708255E-3</v>
          </cell>
          <cell r="AL294">
            <v>0</v>
          </cell>
          <cell r="AM294">
            <v>0</v>
          </cell>
          <cell r="AN294">
            <v>6.4693123067318115E-3</v>
          </cell>
          <cell r="AO294">
            <v>1.3369143082794119E-2</v>
          </cell>
          <cell r="AP294">
            <v>2.0722204971750091E-2</v>
          </cell>
          <cell r="AQ294">
            <v>2.8544285348899565E-2</v>
          </cell>
          <cell r="AR294">
            <v>3.6853663572734938E-2</v>
          </cell>
          <cell r="AS294">
            <v>4.5681025905056571E-2</v>
          </cell>
          <cell r="AT294">
            <v>5.5060897669044012E-2</v>
          </cell>
          <cell r="AU294">
            <v>6.502272353729352E-2</v>
          </cell>
          <cell r="AW294">
            <v>0</v>
          </cell>
          <cell r="AY294">
            <v>0</v>
          </cell>
          <cell r="AZ294">
            <v>0</v>
          </cell>
          <cell r="BA294">
            <v>1</v>
          </cell>
          <cell r="BC294">
            <v>0.25053185522269711</v>
          </cell>
          <cell r="BD294">
            <v>0.31316481902837134</v>
          </cell>
          <cell r="BE294">
            <v>0.48767249426225812</v>
          </cell>
          <cell r="BF294">
            <v>0.746557783531269</v>
          </cell>
          <cell r="BG294">
            <v>1.0978787983719966</v>
          </cell>
          <cell r="BH294">
            <v>1.5506867093882037</v>
          </cell>
          <cell r="BI294">
            <v>2.1149603100158902</v>
          </cell>
          <cell r="BJ294">
            <v>2.8012412453396784</v>
          </cell>
          <cell r="BL294">
            <v>155068.67093882037</v>
          </cell>
        </row>
        <row r="295">
          <cell r="A295">
            <v>10001017</v>
          </cell>
          <cell r="B295" t="str">
            <v/>
          </cell>
          <cell r="C295" t="str">
            <v>LSPL</v>
          </cell>
          <cell r="D295" t="str">
            <v>RPH</v>
          </cell>
          <cell r="E295">
            <v>24</v>
          </cell>
          <cell r="F295" t="str">
            <v>M</v>
          </cell>
          <cell r="G295">
            <v>35087</v>
          </cell>
          <cell r="H295">
            <v>1</v>
          </cell>
          <cell r="I295">
            <v>225000000</v>
          </cell>
          <cell r="J295">
            <v>1147500</v>
          </cell>
          <cell r="K295">
            <v>1147500</v>
          </cell>
          <cell r="L295">
            <v>1147500</v>
          </cell>
          <cell r="M295">
            <v>20</v>
          </cell>
          <cell r="N295">
            <v>61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T295">
            <v>31000</v>
          </cell>
          <cell r="U295">
            <v>31000</v>
          </cell>
          <cell r="W295">
            <v>6133192.142105137</v>
          </cell>
          <cell r="X295">
            <v>0</v>
          </cell>
          <cell r="Y295">
            <v>0</v>
          </cell>
          <cell r="Z295">
            <v>62000</v>
          </cell>
          <cell r="AB295">
            <v>964759.36370903859</v>
          </cell>
          <cell r="AC295">
            <v>0</v>
          </cell>
          <cell r="AD295">
            <v>0</v>
          </cell>
          <cell r="AE295">
            <v>31000</v>
          </cell>
          <cell r="AH295">
            <v>93</v>
          </cell>
          <cell r="AI295">
            <v>84</v>
          </cell>
          <cell r="AJ295">
            <v>1</v>
          </cell>
          <cell r="AK295">
            <v>4.2878193942623936E-3</v>
          </cell>
          <cell r="AL295">
            <v>0</v>
          </cell>
          <cell r="AM295">
            <v>2.0816681711721685E-17</v>
          </cell>
          <cell r="AN295">
            <v>2.9288486248393933E-3</v>
          </cell>
          <cell r="AO295">
            <v>6.1567577641752705E-3</v>
          </cell>
          <cell r="AP295">
            <v>9.6911609879865857E-3</v>
          </cell>
          <cell r="AQ295">
            <v>1.3560140856106795E-2</v>
          </cell>
          <cell r="AR295">
            <v>1.7764832184259248E-2</v>
          </cell>
          <cell r="AS295">
            <v>2.2326461528263022E-2</v>
          </cell>
          <cell r="AT295">
            <v>2.7258631742689499E-2</v>
          </cell>
          <cell r="AU295">
            <v>3.257654988756721E-2</v>
          </cell>
          <cell r="AW295">
            <v>0</v>
          </cell>
          <cell r="AY295">
            <v>0</v>
          </cell>
          <cell r="AZ295">
            <v>0</v>
          </cell>
          <cell r="BA295">
            <v>1</v>
          </cell>
          <cell r="BC295">
            <v>0.15214786196681909</v>
          </cell>
          <cell r="BD295">
            <v>0.19018482745852386</v>
          </cell>
          <cell r="BE295">
            <v>0.26893673873718582</v>
          </cell>
          <cell r="BF295">
            <v>0.38913726410110927</v>
          </cell>
          <cell r="BG295">
            <v>0.55582566710856107</v>
          </cell>
          <cell r="BH295">
            <v>0.77494652308823631</v>
          </cell>
          <cell r="BI295">
            <v>1.0525572380580674</v>
          </cell>
          <cell r="BJ295">
            <v>1.395123277446854</v>
          </cell>
          <cell r="BL295">
            <v>174362.96769485317</v>
          </cell>
        </row>
        <row r="296">
          <cell r="A296">
            <v>10001024</v>
          </cell>
          <cell r="B296" t="str">
            <v/>
          </cell>
          <cell r="C296" t="str">
            <v>LSPU</v>
          </cell>
          <cell r="D296" t="str">
            <v>RPH</v>
          </cell>
          <cell r="E296">
            <v>36</v>
          </cell>
          <cell r="F296" t="str">
            <v>M</v>
          </cell>
          <cell r="G296">
            <v>35083</v>
          </cell>
          <cell r="H296">
            <v>1</v>
          </cell>
          <cell r="I296">
            <v>75000000</v>
          </cell>
          <cell r="J296">
            <v>810000</v>
          </cell>
          <cell r="K296">
            <v>810000</v>
          </cell>
          <cell r="L296">
            <v>810000</v>
          </cell>
          <cell r="M296">
            <v>49</v>
          </cell>
          <cell r="N296">
            <v>49</v>
          </cell>
          <cell r="O296">
            <v>75000000</v>
          </cell>
          <cell r="P296">
            <v>187500</v>
          </cell>
          <cell r="Q296">
            <v>0</v>
          </cell>
          <cell r="R296">
            <v>0</v>
          </cell>
          <cell r="T296">
            <v>38900</v>
          </cell>
          <cell r="U296">
            <v>38900</v>
          </cell>
          <cell r="W296">
            <v>3418835.1117550959</v>
          </cell>
          <cell r="X296">
            <v>187500</v>
          </cell>
          <cell r="Y296">
            <v>0</v>
          </cell>
          <cell r="Z296">
            <v>77800</v>
          </cell>
          <cell r="AB296">
            <v>549625.18871305883</v>
          </cell>
          <cell r="AC296">
            <v>187500</v>
          </cell>
          <cell r="AD296">
            <v>0</v>
          </cell>
          <cell r="AE296">
            <v>38900</v>
          </cell>
          <cell r="AH296">
            <v>93</v>
          </cell>
          <cell r="AI296">
            <v>84</v>
          </cell>
          <cell r="AJ296">
            <v>1</v>
          </cell>
          <cell r="AK296">
            <v>7.3283358495074506E-3</v>
          </cell>
          <cell r="AL296">
            <v>0</v>
          </cell>
          <cell r="AM296">
            <v>2.7755575615628914E-17</v>
          </cell>
          <cell r="AN296">
            <v>5.5116099848254302E-3</v>
          </cell>
          <cell r="AO296">
            <v>1.134594810033164E-2</v>
          </cell>
          <cell r="AP296">
            <v>1.7505736140130984E-2</v>
          </cell>
          <cell r="AQ296">
            <v>2.3994721842509878E-2</v>
          </cell>
          <cell r="AR296">
            <v>3.082756315027281E-2</v>
          </cell>
          <cell r="AS296">
            <v>3.8020987774403506E-2</v>
          </cell>
          <cell r="AT296">
            <v>4.5584468156734614E-2</v>
          </cell>
          <cell r="AU296">
            <v>5.3538921453555877E-2</v>
          </cell>
          <cell r="AW296">
            <v>0</v>
          </cell>
          <cell r="AY296">
            <v>1</v>
          </cell>
          <cell r="AZ296">
            <v>0</v>
          </cell>
          <cell r="BA296">
            <v>1</v>
          </cell>
          <cell r="BC296">
            <v>0.22070685055139388</v>
          </cell>
          <cell r="BD296">
            <v>0.27588356318924234</v>
          </cell>
          <cell r="BE296">
            <v>0.42113730168412156</v>
          </cell>
          <cell r="BF296">
            <v>0.63452221293308408</v>
          </cell>
          <cell r="BG296">
            <v>0.92163647570250573</v>
          </cell>
          <cell r="BH296">
            <v>1.2885080657843084</v>
          </cell>
          <cell r="BI296">
            <v>1.7412006176559851</v>
          </cell>
          <cell r="BJ296">
            <v>2.2866336127829019</v>
          </cell>
          <cell r="BL296">
            <v>96638.104933823139</v>
          </cell>
        </row>
        <row r="297">
          <cell r="A297">
            <v>10001034</v>
          </cell>
          <cell r="B297" t="str">
            <v/>
          </cell>
          <cell r="C297" t="str">
            <v>LSPL</v>
          </cell>
          <cell r="D297" t="str">
            <v>RPH</v>
          </cell>
          <cell r="E297">
            <v>15</v>
          </cell>
          <cell r="F297" t="str">
            <v>M</v>
          </cell>
          <cell r="G297">
            <v>35107</v>
          </cell>
          <cell r="H297">
            <v>1</v>
          </cell>
          <cell r="I297">
            <v>200000000</v>
          </cell>
          <cell r="J297">
            <v>940000</v>
          </cell>
          <cell r="K297">
            <v>940000</v>
          </cell>
          <cell r="L297">
            <v>940000</v>
          </cell>
          <cell r="M297">
            <v>20</v>
          </cell>
          <cell r="N297">
            <v>70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T297">
            <v>0</v>
          </cell>
          <cell r="U297">
            <v>0</v>
          </cell>
          <cell r="W297">
            <v>2842058.4617467402</v>
          </cell>
          <cell r="X297">
            <v>0</v>
          </cell>
          <cell r="Y297">
            <v>0</v>
          </cell>
          <cell r="Z297">
            <v>0</v>
          </cell>
          <cell r="AB297">
            <v>610619.78007051384</v>
          </cell>
          <cell r="AC297">
            <v>0</v>
          </cell>
          <cell r="AD297">
            <v>0</v>
          </cell>
          <cell r="AE297">
            <v>0</v>
          </cell>
          <cell r="AH297">
            <v>92</v>
          </cell>
          <cell r="AI297">
            <v>84</v>
          </cell>
          <cell r="AJ297">
            <v>1</v>
          </cell>
          <cell r="AK297">
            <v>3.0530989003525692E-3</v>
          </cell>
          <cell r="AL297">
            <v>0</v>
          </cell>
          <cell r="AM297">
            <v>3.4694469519536142E-18</v>
          </cell>
          <cell r="AN297">
            <v>1.7406454276141861E-3</v>
          </cell>
          <cell r="AO297">
            <v>3.5112206169448587E-3</v>
          </cell>
          <cell r="AP297">
            <v>5.3448358751468604E-3</v>
          </cell>
          <cell r="AQ297">
            <v>7.2874493099971752E-3</v>
          </cell>
          <cell r="AR297">
            <v>9.3890367190473702E-3</v>
          </cell>
          <cell r="AS297">
            <v>1.1684127667714619E-2</v>
          </cell>
          <cell r="AT297">
            <v>1.4210292308733701E-2</v>
          </cell>
          <cell r="AU297">
            <v>1.7008391858924506E-2</v>
          </cell>
          <cell r="AW297">
            <v>0</v>
          </cell>
          <cell r="AY297">
            <v>0</v>
          </cell>
          <cell r="AZ297">
            <v>0</v>
          </cell>
          <cell r="BA297">
            <v>0</v>
          </cell>
          <cell r="BC297">
            <v>0.10690734743479152</v>
          </cell>
          <cell r="BD297">
            <v>0.13363418429348939</v>
          </cell>
          <cell r="BE297">
            <v>0.17240164936515728</v>
          </cell>
          <cell r="BF297">
            <v>0.22949775163698466</v>
          </cell>
          <cell r="BG297">
            <v>0.30817038610041508</v>
          </cell>
          <cell r="BH297">
            <v>0.41207120730804242</v>
          </cell>
          <cell r="BI297">
            <v>0.54574019448660371</v>
          </cell>
          <cell r="BJ297">
            <v>0.71471230818129416</v>
          </cell>
          <cell r="BL297">
            <v>82414.241461608486</v>
          </cell>
        </row>
        <row r="298">
          <cell r="A298">
            <v>10001047</v>
          </cell>
          <cell r="B298" t="str">
            <v/>
          </cell>
          <cell r="C298" t="str">
            <v>LSPL</v>
          </cell>
          <cell r="D298" t="str">
            <v>RPH</v>
          </cell>
          <cell r="E298">
            <v>34</v>
          </cell>
          <cell r="F298" t="str">
            <v>M</v>
          </cell>
          <cell r="G298">
            <v>35088</v>
          </cell>
          <cell r="H298">
            <v>1</v>
          </cell>
          <cell r="I298">
            <v>150000000</v>
          </cell>
          <cell r="J298">
            <v>1470000</v>
          </cell>
          <cell r="K298">
            <v>1470000</v>
          </cell>
          <cell r="L298">
            <v>1470000</v>
          </cell>
          <cell r="M298">
            <v>20</v>
          </cell>
          <cell r="N298">
            <v>51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T298">
            <v>54400</v>
          </cell>
          <cell r="U298">
            <v>54400</v>
          </cell>
          <cell r="W298">
            <v>7807061.4911832707</v>
          </cell>
          <cell r="X298">
            <v>0</v>
          </cell>
          <cell r="Y298">
            <v>0</v>
          </cell>
          <cell r="Z298">
            <v>108800</v>
          </cell>
          <cell r="AB298">
            <v>1134747.2368275872</v>
          </cell>
          <cell r="AC298">
            <v>0</v>
          </cell>
          <cell r="AD298">
            <v>0</v>
          </cell>
          <cell r="AE298">
            <v>54400</v>
          </cell>
          <cell r="AH298">
            <v>93</v>
          </cell>
          <cell r="AI298">
            <v>84</v>
          </cell>
          <cell r="AJ298">
            <v>1</v>
          </cell>
          <cell r="AK298">
            <v>7.5649815788505813E-3</v>
          </cell>
          <cell r="AL298">
            <v>0</v>
          </cell>
          <cell r="AM298">
            <v>0</v>
          </cell>
          <cell r="AN298">
            <v>6.0890431445708992E-3</v>
          </cell>
          <cell r="AO298">
            <v>1.2592100621972427E-2</v>
          </cell>
          <cell r="AP298">
            <v>1.9529848922714643E-2</v>
          </cell>
          <cell r="AQ298">
            <v>2.6925525655462745E-2</v>
          </cell>
          <cell r="AR298">
            <v>3.4795560009428891E-2</v>
          </cell>
          <cell r="AS298">
            <v>4.3158940995359954E-2</v>
          </cell>
          <cell r="AT298">
            <v>5.2047076607888473E-2</v>
          </cell>
          <cell r="AU298">
            <v>6.1495290952981167E-2</v>
          </cell>
          <cell r="AW298">
            <v>0</v>
          </cell>
          <cell r="AY298">
            <v>0</v>
          </cell>
          <cell r="AZ298">
            <v>0</v>
          </cell>
          <cell r="BA298">
            <v>1</v>
          </cell>
          <cell r="BC298">
            <v>0.23934822163458114</v>
          </cell>
          <cell r="BD298">
            <v>0.29918527704322639</v>
          </cell>
          <cell r="BE298">
            <v>0.46314359605487421</v>
          </cell>
          <cell r="BF298">
            <v>0.70686391223768186</v>
          </cell>
          <cell r="BG298">
            <v>1.0381313905214216</v>
          </cell>
          <cell r="BH298">
            <v>1.4652513139076275</v>
          </cell>
          <cell r="BI298">
            <v>1.9976112274484417</v>
          </cell>
          <cell r="BJ298">
            <v>2.6455744458382329</v>
          </cell>
          <cell r="BL298">
            <v>219787.69708614412</v>
          </cell>
        </row>
        <row r="299">
          <cell r="A299">
            <v>10001054</v>
          </cell>
          <cell r="B299" t="str">
            <v/>
          </cell>
          <cell r="C299" t="str">
            <v>LSPL</v>
          </cell>
          <cell r="D299" t="str">
            <v>RPH</v>
          </cell>
          <cell r="E299">
            <v>34</v>
          </cell>
          <cell r="F299" t="str">
            <v>F</v>
          </cell>
          <cell r="G299">
            <v>35092</v>
          </cell>
          <cell r="H299">
            <v>1</v>
          </cell>
          <cell r="I299">
            <v>100000000</v>
          </cell>
          <cell r="J299">
            <v>860000</v>
          </cell>
          <cell r="K299">
            <v>860000</v>
          </cell>
          <cell r="L299">
            <v>860000</v>
          </cell>
          <cell r="M299">
            <v>20</v>
          </cell>
          <cell r="N299">
            <v>51</v>
          </cell>
          <cell r="O299">
            <v>100000000</v>
          </cell>
          <cell r="P299">
            <v>250000</v>
          </cell>
          <cell r="Q299">
            <v>0</v>
          </cell>
          <cell r="R299">
            <v>0</v>
          </cell>
          <cell r="T299">
            <v>0</v>
          </cell>
          <cell r="U299">
            <v>0</v>
          </cell>
          <cell r="W299">
            <v>4327978.8252955191</v>
          </cell>
          <cell r="X299">
            <v>250000</v>
          </cell>
          <cell r="Y299">
            <v>0</v>
          </cell>
          <cell r="Z299">
            <v>0</v>
          </cell>
          <cell r="AB299">
            <v>649334.91649499687</v>
          </cell>
          <cell r="AC299">
            <v>250000</v>
          </cell>
          <cell r="AD299">
            <v>0</v>
          </cell>
          <cell r="AE299">
            <v>0</v>
          </cell>
          <cell r="AH299">
            <v>93</v>
          </cell>
          <cell r="AI299">
            <v>84</v>
          </cell>
          <cell r="AJ299">
            <v>1</v>
          </cell>
          <cell r="AK299">
            <v>6.4933491649499684E-3</v>
          </cell>
          <cell r="AL299">
            <v>0</v>
          </cell>
          <cell r="AM299">
            <v>2.0816681711721685E-17</v>
          </cell>
          <cell r="AN299">
            <v>5.1327851848317271E-3</v>
          </cell>
          <cell r="AO299">
            <v>1.060167574860383E-2</v>
          </cell>
          <cell r="AP299">
            <v>1.6416580127380766E-2</v>
          </cell>
          <cell r="AQ299">
            <v>2.2577626825549688E-2</v>
          </cell>
          <cell r="AR299">
            <v>2.9096994611267461E-2</v>
          </cell>
          <cell r="AS299">
            <v>3.5988683791568582E-2</v>
          </cell>
          <cell r="AT299">
            <v>4.3279788252955191E-2</v>
          </cell>
          <cell r="AU299">
            <v>5.1000498493855101E-2</v>
          </cell>
          <cell r="AW299">
            <v>0</v>
          </cell>
          <cell r="AY299">
            <v>1</v>
          </cell>
          <cell r="AZ299">
            <v>0</v>
          </cell>
          <cell r="BA299">
            <v>0</v>
          </cell>
          <cell r="BC299">
            <v>0.20394890290527687</v>
          </cell>
          <cell r="BD299">
            <v>0.25493612863159609</v>
          </cell>
          <cell r="BE299">
            <v>0.39106599698846478</v>
          </cell>
          <cell r="BF299">
            <v>0.59216568662526614</v>
          </cell>
          <cell r="BG299">
            <v>0.86398695327731467</v>
          </cell>
          <cell r="BH299">
            <v>1.2126479355880064</v>
          </cell>
          <cell r="BI299">
            <v>1.645238502939353</v>
          </cell>
          <cell r="BJ299">
            <v>2.1696468630729555</v>
          </cell>
          <cell r="BL299">
            <v>121264.79355880064</v>
          </cell>
        </row>
        <row r="300">
          <cell r="A300">
            <v>10001072</v>
          </cell>
          <cell r="B300" t="str">
            <v/>
          </cell>
          <cell r="C300" t="str">
            <v>LSPL</v>
          </cell>
          <cell r="D300" t="str">
            <v>RPH</v>
          </cell>
          <cell r="E300">
            <v>27</v>
          </cell>
          <cell r="F300" t="str">
            <v>M</v>
          </cell>
          <cell r="G300">
            <v>35086</v>
          </cell>
          <cell r="H300">
            <v>1</v>
          </cell>
          <cell r="I300">
            <v>150000000</v>
          </cell>
          <cell r="J300">
            <v>1035000</v>
          </cell>
          <cell r="K300">
            <v>1035000</v>
          </cell>
          <cell r="L300">
            <v>1035000</v>
          </cell>
          <cell r="M300">
            <v>20</v>
          </cell>
          <cell r="N300">
            <v>58</v>
          </cell>
          <cell r="O300">
            <v>150000000</v>
          </cell>
          <cell r="P300">
            <v>375000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W300">
            <v>5056552.9053259026</v>
          </cell>
          <cell r="X300">
            <v>375000</v>
          </cell>
          <cell r="Y300">
            <v>0</v>
          </cell>
          <cell r="Z300">
            <v>0</v>
          </cell>
          <cell r="AB300">
            <v>749778.81621994905</v>
          </cell>
          <cell r="AC300">
            <v>375000</v>
          </cell>
          <cell r="AD300">
            <v>0</v>
          </cell>
          <cell r="AE300">
            <v>0</v>
          </cell>
          <cell r="AH300">
            <v>93</v>
          </cell>
          <cell r="AI300">
            <v>84</v>
          </cell>
          <cell r="AJ300">
            <v>1</v>
          </cell>
          <cell r="AK300">
            <v>4.9985254414663272E-3</v>
          </cell>
          <cell r="AL300">
            <v>0</v>
          </cell>
          <cell r="AM300">
            <v>2.7755575615628914E-17</v>
          </cell>
          <cell r="AN300">
            <v>3.7547758501435963E-3</v>
          </cell>
          <cell r="AO300">
            <v>7.8345738749195509E-3</v>
          </cell>
          <cell r="AP300">
            <v>1.225953243662474E-2</v>
          </cell>
          <cell r="AQ300">
            <v>1.7041958612622012E-2</v>
          </cell>
          <cell r="AR300">
            <v>2.219563345351426E-2</v>
          </cell>
          <cell r="AS300">
            <v>2.7745737383426554E-2</v>
          </cell>
          <cell r="AT300">
            <v>3.3710352702172687E-2</v>
          </cell>
          <cell r="AU300">
            <v>4.0109715258677868E-2</v>
          </cell>
          <cell r="AW300">
            <v>0</v>
          </cell>
          <cell r="AY300">
            <v>1</v>
          </cell>
          <cell r="AZ300">
            <v>0</v>
          </cell>
          <cell r="BA300">
            <v>0</v>
          </cell>
          <cell r="BC300">
            <v>0.17440112442562727</v>
          </cell>
          <cell r="BD300">
            <v>0.21800140553203409</v>
          </cell>
          <cell r="BE300">
            <v>0.31882952388352087</v>
          </cell>
          <cell r="BF300">
            <v>0.47072642977287493</v>
          </cell>
          <cell r="BG300">
            <v>0.67961340454806074</v>
          </cell>
          <cell r="BH300">
            <v>0.95222804544529027</v>
          </cell>
          <cell r="BI300">
            <v>1.295543838872897</v>
          </cell>
          <cell r="BJ300">
            <v>1.7170840605988862</v>
          </cell>
          <cell r="BL300">
            <v>142834.20681679354</v>
          </cell>
        </row>
        <row r="301">
          <cell r="A301">
            <v>10001086</v>
          </cell>
          <cell r="B301" t="str">
            <v/>
          </cell>
          <cell r="C301" t="str">
            <v>LSPL</v>
          </cell>
          <cell r="D301" t="str">
            <v>RPH</v>
          </cell>
          <cell r="E301">
            <v>28</v>
          </cell>
          <cell r="F301" t="str">
            <v>M</v>
          </cell>
          <cell r="G301">
            <v>35104</v>
          </cell>
          <cell r="H301">
            <v>1</v>
          </cell>
          <cell r="I301">
            <v>200000000</v>
          </cell>
          <cell r="J301">
            <v>1660000</v>
          </cell>
          <cell r="K301">
            <v>1660000</v>
          </cell>
          <cell r="L301">
            <v>1660000</v>
          </cell>
          <cell r="M301">
            <v>20</v>
          </cell>
          <cell r="N301">
            <v>57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T301">
            <v>49800</v>
          </cell>
          <cell r="U301">
            <v>49800</v>
          </cell>
          <cell r="W301">
            <v>7209028.1313646473</v>
          </cell>
          <cell r="X301">
            <v>0</v>
          </cell>
          <cell r="Y301">
            <v>0</v>
          </cell>
          <cell r="Z301">
            <v>99600</v>
          </cell>
          <cell r="AB301">
            <v>1056876.9820206889</v>
          </cell>
          <cell r="AC301">
            <v>0</v>
          </cell>
          <cell r="AD301">
            <v>0</v>
          </cell>
          <cell r="AE301">
            <v>49800</v>
          </cell>
          <cell r="AH301">
            <v>92</v>
          </cell>
          <cell r="AI301">
            <v>84</v>
          </cell>
          <cell r="AJ301">
            <v>1</v>
          </cell>
          <cell r="AK301">
            <v>5.2843849101034445E-3</v>
          </cell>
          <cell r="AL301">
            <v>0</v>
          </cell>
          <cell r="AM301">
            <v>1.3877787807814457E-17</v>
          </cell>
          <cell r="AN301">
            <v>4.0469402893103523E-3</v>
          </cell>
          <cell r="AO301">
            <v>8.4359073051450267E-3</v>
          </cell>
          <cell r="AP301">
            <v>1.3178840427390183E-2</v>
          </cell>
          <cell r="AQ301">
            <v>1.8289116265284101E-2</v>
          </cell>
          <cell r="AR301">
            <v>2.3791509725136474E-2</v>
          </cell>
          <cell r="AS301">
            <v>2.9703617568426779E-2</v>
          </cell>
          <cell r="AT301">
            <v>3.6045140656823238E-2</v>
          </cell>
          <cell r="AU301">
            <v>4.2828545092564833E-2</v>
          </cell>
          <cell r="AW301">
            <v>0</v>
          </cell>
          <cell r="AY301">
            <v>0</v>
          </cell>
          <cell r="AZ301">
            <v>0</v>
          </cell>
          <cell r="BA301">
            <v>1</v>
          </cell>
          <cell r="BC301">
            <v>0.18212293987714914</v>
          </cell>
          <cell r="BD301">
            <v>0.22765367484643642</v>
          </cell>
          <cell r="BE301">
            <v>0.33639436440006404</v>
          </cell>
          <cell r="BF301">
            <v>0.49970707248572477</v>
          </cell>
          <cell r="BG301">
            <v>0.72410238230045654</v>
          </cell>
          <cell r="BH301">
            <v>1.0163493776507031</v>
          </cell>
          <cell r="BI301">
            <v>1.3837387330053013</v>
          </cell>
          <cell r="BJ301">
            <v>1.833642330012089</v>
          </cell>
          <cell r="BL301">
            <v>203269.87553014062</v>
          </cell>
        </row>
        <row r="302">
          <cell r="A302">
            <v>10001089</v>
          </cell>
          <cell r="B302" t="str">
            <v/>
          </cell>
          <cell r="C302" t="str">
            <v>LSPL</v>
          </cell>
          <cell r="D302" t="str">
            <v>RPH</v>
          </cell>
          <cell r="E302">
            <v>26</v>
          </cell>
          <cell r="F302" t="str">
            <v>F</v>
          </cell>
          <cell r="G302">
            <v>35107</v>
          </cell>
          <cell r="H302">
            <v>1</v>
          </cell>
          <cell r="I302">
            <v>150000000</v>
          </cell>
          <cell r="J302">
            <v>870000</v>
          </cell>
          <cell r="K302">
            <v>870000</v>
          </cell>
          <cell r="L302">
            <v>870000</v>
          </cell>
          <cell r="M302">
            <v>20</v>
          </cell>
          <cell r="N302">
            <v>59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T302">
            <v>25200</v>
          </cell>
          <cell r="U302">
            <v>25200</v>
          </cell>
          <cell r="W302">
            <v>4039069.109877313</v>
          </cell>
          <cell r="X302">
            <v>0</v>
          </cell>
          <cell r="Y302">
            <v>0</v>
          </cell>
          <cell r="Z302">
            <v>50400</v>
          </cell>
          <cell r="AB302">
            <v>615149.49542377866</v>
          </cell>
          <cell r="AC302">
            <v>0</v>
          </cell>
          <cell r="AD302">
            <v>0</v>
          </cell>
          <cell r="AE302">
            <v>25200</v>
          </cell>
          <cell r="AH302">
            <v>92</v>
          </cell>
          <cell r="AI302">
            <v>84</v>
          </cell>
          <cell r="AJ302">
            <v>1</v>
          </cell>
          <cell r="AK302">
            <v>4.1009966361585243E-3</v>
          </cell>
          <cell r="AL302">
            <v>0</v>
          </cell>
          <cell r="AM302">
            <v>0</v>
          </cell>
          <cell r="AN302">
            <v>3.0484333994403312E-3</v>
          </cell>
          <cell r="AO302">
            <v>6.3301967884753924E-3</v>
          </cell>
          <cell r="AP302">
            <v>9.8669789068315111E-3</v>
          </cell>
          <cell r="AQ302">
            <v>1.3671132210657133E-2</v>
          </cell>
          <cell r="AR302">
            <v>1.7767634990969387E-2</v>
          </cell>
          <cell r="AS302">
            <v>2.2183810204720454E-2</v>
          </cell>
          <cell r="AT302">
            <v>2.6927127399182085E-2</v>
          </cell>
          <cell r="AU302">
            <v>3.202845588459162E-2</v>
          </cell>
          <cell r="AW302">
            <v>0</v>
          </cell>
          <cell r="AY302">
            <v>0</v>
          </cell>
          <cell r="AZ302">
            <v>0</v>
          </cell>
          <cell r="BA302">
            <v>1</v>
          </cell>
          <cell r="BC302">
            <v>0.14474460350579579</v>
          </cell>
          <cell r="BD302">
            <v>0.18093075438224474</v>
          </cell>
          <cell r="BE302">
            <v>0.26075927470202337</v>
          </cell>
          <cell r="BF302">
            <v>0.38042175803172823</v>
          </cell>
          <cell r="BG302">
            <v>0.54482197029764234</v>
          </cell>
          <cell r="BH302">
            <v>0.75952084880341963</v>
          </cell>
          <cell r="BI302">
            <v>1.0297304836757062</v>
          </cell>
          <cell r="BJ302">
            <v>1.3621120341322341</v>
          </cell>
          <cell r="BL302">
            <v>113928.12732051295</v>
          </cell>
        </row>
        <row r="303">
          <cell r="A303">
            <v>10001090</v>
          </cell>
          <cell r="B303" t="str">
            <v/>
          </cell>
          <cell r="C303" t="str">
            <v>LSPL</v>
          </cell>
          <cell r="D303" t="str">
            <v>RPH</v>
          </cell>
          <cell r="E303">
            <v>30</v>
          </cell>
          <cell r="F303" t="str">
            <v>M</v>
          </cell>
          <cell r="G303">
            <v>35123</v>
          </cell>
          <cell r="H303">
            <v>1</v>
          </cell>
          <cell r="I303">
            <v>150000000</v>
          </cell>
          <cell r="J303">
            <v>1185000</v>
          </cell>
          <cell r="K303">
            <v>1185000</v>
          </cell>
          <cell r="L303">
            <v>1185000</v>
          </cell>
          <cell r="M303">
            <v>20</v>
          </cell>
          <cell r="N303">
            <v>55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T303">
            <v>0</v>
          </cell>
          <cell r="U303">
            <v>0</v>
          </cell>
          <cell r="W303">
            <v>6149058.9160699593</v>
          </cell>
          <cell r="X303">
            <v>0</v>
          </cell>
          <cell r="Y303">
            <v>0</v>
          </cell>
          <cell r="Z303">
            <v>0</v>
          </cell>
          <cell r="AB303">
            <v>889920.2679698373</v>
          </cell>
          <cell r="AC303">
            <v>0</v>
          </cell>
          <cell r="AD303">
            <v>0</v>
          </cell>
          <cell r="AE303">
            <v>0</v>
          </cell>
          <cell r="AH303">
            <v>92</v>
          </cell>
          <cell r="AI303">
            <v>84</v>
          </cell>
          <cell r="AJ303">
            <v>1</v>
          </cell>
          <cell r="AK303">
            <v>5.9328017864655816E-3</v>
          </cell>
          <cell r="AL303">
            <v>0</v>
          </cell>
          <cell r="AM303">
            <v>6.9388939039072284E-18</v>
          </cell>
          <cell r="AN303">
            <v>4.6751692519008542E-3</v>
          </cell>
          <cell r="AO303">
            <v>9.7108477170502333E-3</v>
          </cell>
          <cell r="AP303">
            <v>1.5131083571797189E-2</v>
          </cell>
          <cell r="AQ303">
            <v>2.0952587845589919E-2</v>
          </cell>
          <cell r="AR303">
            <v>2.7194085865268162E-2</v>
          </cell>
          <cell r="AS303">
            <v>3.3866878698971398E-2</v>
          </cell>
          <cell r="AT303">
            <v>4.0993726107133061E-2</v>
          </cell>
          <cell r="AU303">
            <v>4.8600163843122018E-2</v>
          </cell>
          <cell r="AW303">
            <v>0</v>
          </cell>
          <cell r="AY303">
            <v>0</v>
          </cell>
          <cell r="AZ303">
            <v>0</v>
          </cell>
          <cell r="BA303">
            <v>0</v>
          </cell>
          <cell r="BC303">
            <v>0.19916295712615442</v>
          </cell>
          <cell r="BD303">
            <v>0.24895369640769302</v>
          </cell>
          <cell r="BE303">
            <v>0.37462322208691795</v>
          </cell>
          <cell r="BF303">
            <v>0.56278017871800523</v>
          </cell>
          <cell r="BG303">
            <v>0.82029274592250911</v>
          </cell>
          <cell r="BH303">
            <v>1.15415171307736</v>
          </cell>
          <cell r="BI303">
            <v>1.5721941569706761</v>
          </cell>
          <cell r="BJ303">
            <v>2.0829566608042196</v>
          </cell>
          <cell r="BL303">
            <v>173122.756961604</v>
          </cell>
        </row>
        <row r="304">
          <cell r="A304">
            <v>10001102</v>
          </cell>
          <cell r="B304" t="str">
            <v/>
          </cell>
          <cell r="C304" t="str">
            <v>LSPL</v>
          </cell>
          <cell r="D304" t="str">
            <v>RPH</v>
          </cell>
          <cell r="E304">
            <v>31</v>
          </cell>
          <cell r="F304" t="str">
            <v>M</v>
          </cell>
          <cell r="G304">
            <v>35107</v>
          </cell>
          <cell r="H304">
            <v>2</v>
          </cell>
          <cell r="I304">
            <v>125000000</v>
          </cell>
          <cell r="J304">
            <v>546000</v>
          </cell>
          <cell r="K304">
            <v>546000</v>
          </cell>
          <cell r="L304">
            <v>1092000</v>
          </cell>
          <cell r="M304">
            <v>20</v>
          </cell>
          <cell r="N304">
            <v>54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T304">
            <v>18000</v>
          </cell>
          <cell r="U304">
            <v>36000</v>
          </cell>
          <cell r="W304">
            <v>5451737.7201509299</v>
          </cell>
          <cell r="X304">
            <v>0</v>
          </cell>
          <cell r="Y304">
            <v>0</v>
          </cell>
          <cell r="Z304">
            <v>72000</v>
          </cell>
          <cell r="AB304">
            <v>787179.06079008186</v>
          </cell>
          <cell r="AC304">
            <v>0</v>
          </cell>
          <cell r="AD304">
            <v>0</v>
          </cell>
          <cell r="AE304">
            <v>36000</v>
          </cell>
          <cell r="AH304">
            <v>92</v>
          </cell>
          <cell r="AI304">
            <v>84</v>
          </cell>
          <cell r="AJ304">
            <v>2</v>
          </cell>
          <cell r="AK304">
            <v>6.2974324863206551E-3</v>
          </cell>
          <cell r="AL304">
            <v>0</v>
          </cell>
          <cell r="AM304">
            <v>0</v>
          </cell>
          <cell r="AN304">
            <v>5.0035580636684784E-3</v>
          </cell>
          <cell r="AO304">
            <v>1.0388336956553425E-2</v>
          </cell>
          <cell r="AP304">
            <v>1.6170638501661186E-2</v>
          </cell>
          <cell r="AQ304">
            <v>2.2368737537356298E-2</v>
          </cell>
          <cell r="AR304">
            <v>2.8993389990586059E-2</v>
          </cell>
          <cell r="AS304">
            <v>3.6066802838897134E-2</v>
          </cell>
          <cell r="AT304">
            <v>4.3613901761207441E-2</v>
          </cell>
          <cell r="AU304">
            <v>5.1653148460340602E-2</v>
          </cell>
          <cell r="AW304">
            <v>0</v>
          </cell>
          <cell r="AY304">
            <v>0</v>
          </cell>
          <cell r="AZ304">
            <v>0</v>
          </cell>
          <cell r="BA304">
            <v>1</v>
          </cell>
          <cell r="BC304">
            <v>0.20846971170588305</v>
          </cell>
          <cell r="BD304">
            <v>0.2605871396323538</v>
          </cell>
          <cell r="BE304">
            <v>0.39535372801958457</v>
          </cell>
          <cell r="BF304">
            <v>0.59674487885485306</v>
          </cell>
          <cell r="BG304">
            <v>0.87158202339835333</v>
          </cell>
          <cell r="BH304">
            <v>1.2274550014953074</v>
          </cell>
          <cell r="BI304">
            <v>1.6726184329396871</v>
          </cell>
          <cell r="BJ304">
            <v>2.2155782728341316</v>
          </cell>
          <cell r="BL304">
            <v>153431.87518691344</v>
          </cell>
        </row>
        <row r="305">
          <cell r="A305">
            <v>10001108</v>
          </cell>
          <cell r="B305" t="str">
            <v/>
          </cell>
          <cell r="C305" t="str">
            <v>LSPL</v>
          </cell>
          <cell r="D305" t="str">
            <v>RPH</v>
          </cell>
          <cell r="E305">
            <v>45</v>
          </cell>
          <cell r="F305" t="str">
            <v>F</v>
          </cell>
          <cell r="G305">
            <v>35109</v>
          </cell>
          <cell r="H305">
            <v>1</v>
          </cell>
          <cell r="I305">
            <v>59741000</v>
          </cell>
          <cell r="J305">
            <v>923000</v>
          </cell>
          <cell r="K305">
            <v>923000</v>
          </cell>
          <cell r="L305">
            <v>923000</v>
          </cell>
          <cell r="M305">
            <v>20</v>
          </cell>
          <cell r="N305">
            <v>40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67500</v>
          </cell>
          <cell r="U305">
            <v>67500</v>
          </cell>
          <cell r="W305">
            <v>4539973.8056310443</v>
          </cell>
          <cell r="X305">
            <v>0</v>
          </cell>
          <cell r="Y305">
            <v>0</v>
          </cell>
          <cell r="Z305">
            <v>135000</v>
          </cell>
          <cell r="AB305">
            <v>739157.54165060318</v>
          </cell>
          <cell r="AC305">
            <v>0</v>
          </cell>
          <cell r="AD305">
            <v>0</v>
          </cell>
          <cell r="AE305">
            <v>67500</v>
          </cell>
          <cell r="AH305">
            <v>92</v>
          </cell>
          <cell r="AI305">
            <v>84</v>
          </cell>
          <cell r="AJ305">
            <v>1</v>
          </cell>
          <cell r="AK305">
            <v>1.2372701187636684E-2</v>
          </cell>
          <cell r="AL305">
            <v>0</v>
          </cell>
          <cell r="AM305">
            <v>0</v>
          </cell>
          <cell r="AN305">
            <v>9.0189015024972063E-3</v>
          </cell>
          <cell r="AO305">
            <v>1.8587912790024808E-2</v>
          </cell>
          <cell r="AP305">
            <v>2.8743153964878004E-2</v>
          </cell>
          <cell r="AQ305">
            <v>3.9525508379147575E-2</v>
          </cell>
          <cell r="AR305">
            <v>5.0970247402345042E-2</v>
          </cell>
          <cell r="AS305">
            <v>6.311803553785697E-2</v>
          </cell>
          <cell r="AT305">
            <v>7.5994272034800969E-2</v>
          </cell>
          <cell r="AU305">
            <v>8.9640694588654007E-2</v>
          </cell>
          <cell r="AW305">
            <v>0</v>
          </cell>
          <cell r="AY305">
            <v>0</v>
          </cell>
          <cell r="AZ305">
            <v>0</v>
          </cell>
          <cell r="BA305">
            <v>1</v>
          </cell>
          <cell r="BC305">
            <v>0.28538537208820824</v>
          </cell>
          <cell r="BD305">
            <v>0.35673171511026036</v>
          </cell>
          <cell r="BE305">
            <v>0.60188166280878019</v>
          </cell>
          <cell r="BF305">
            <v>0.9649004155603178</v>
          </cell>
          <cell r="BG305">
            <v>1.457154660086887</v>
          </cell>
          <cell r="BH305">
            <v>2.09110516858575</v>
          </cell>
          <cell r="BI305">
            <v>2.8794536379391449</v>
          </cell>
          <cell r="BJ305">
            <v>3.8364656881752164</v>
          </cell>
          <cell r="BL305">
            <v>124924.7138764813</v>
          </cell>
        </row>
        <row r="306">
          <cell r="A306">
            <v>10001113</v>
          </cell>
          <cell r="B306" t="str">
            <v/>
          </cell>
          <cell r="C306" t="str">
            <v>LSPL</v>
          </cell>
          <cell r="D306" t="str">
            <v>RPH</v>
          </cell>
          <cell r="E306">
            <v>27</v>
          </cell>
          <cell r="F306" t="str">
            <v>M</v>
          </cell>
          <cell r="G306">
            <v>35109</v>
          </cell>
          <cell r="H306">
            <v>1</v>
          </cell>
          <cell r="I306">
            <v>101266000</v>
          </cell>
          <cell r="J306">
            <v>800000</v>
          </cell>
          <cell r="K306">
            <v>800000</v>
          </cell>
          <cell r="L306">
            <v>800000</v>
          </cell>
          <cell r="M306">
            <v>20</v>
          </cell>
          <cell r="N306">
            <v>58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T306">
            <v>23200</v>
          </cell>
          <cell r="U306">
            <v>23200</v>
          </cell>
          <cell r="W306">
            <v>3413712.5767382192</v>
          </cell>
          <cell r="X306">
            <v>0</v>
          </cell>
          <cell r="Y306">
            <v>0</v>
          </cell>
          <cell r="Z306">
            <v>46400</v>
          </cell>
          <cell r="AB306">
            <v>506180.6773555291</v>
          </cell>
          <cell r="AC306">
            <v>0</v>
          </cell>
          <cell r="AD306">
            <v>0</v>
          </cell>
          <cell r="AE306">
            <v>23200</v>
          </cell>
          <cell r="AH306">
            <v>92</v>
          </cell>
          <cell r="AI306">
            <v>84</v>
          </cell>
          <cell r="AJ306">
            <v>1</v>
          </cell>
          <cell r="AK306">
            <v>4.9985254414663272E-3</v>
          </cell>
          <cell r="AL306">
            <v>0</v>
          </cell>
          <cell r="AM306">
            <v>2.7755575615628914E-17</v>
          </cell>
          <cell r="AN306">
            <v>3.7547758501435963E-3</v>
          </cell>
          <cell r="AO306">
            <v>7.8345738749195509E-3</v>
          </cell>
          <cell r="AP306">
            <v>1.225953243662474E-2</v>
          </cell>
          <cell r="AQ306">
            <v>1.7041958612622012E-2</v>
          </cell>
          <cell r="AR306">
            <v>2.219563345351426E-2</v>
          </cell>
          <cell r="AS306">
            <v>2.7745737383426554E-2</v>
          </cell>
          <cell r="AT306">
            <v>3.3710352702172687E-2</v>
          </cell>
          <cell r="AU306">
            <v>4.0109715258677868E-2</v>
          </cell>
          <cell r="AW306">
            <v>0</v>
          </cell>
          <cell r="AY306">
            <v>0</v>
          </cell>
          <cell r="AZ306">
            <v>0</v>
          </cell>
          <cell r="BA306">
            <v>1</v>
          </cell>
          <cell r="BC306">
            <v>0.17440112442562727</v>
          </cell>
          <cell r="BD306">
            <v>0.21800140553203409</v>
          </cell>
          <cell r="BE306">
            <v>0.31882952388352087</v>
          </cell>
          <cell r="BF306">
            <v>0.47072642977287493</v>
          </cell>
          <cell r="BG306">
            <v>0.67961340454806074</v>
          </cell>
          <cell r="BH306">
            <v>0.95222804544529027</v>
          </cell>
          <cell r="BI306">
            <v>1.295543838872897</v>
          </cell>
          <cell r="BJ306">
            <v>1.7170840605988862</v>
          </cell>
          <cell r="BL306">
            <v>96428.325250062757</v>
          </cell>
        </row>
        <row r="307">
          <cell r="A307">
            <v>10001115</v>
          </cell>
          <cell r="B307" t="str">
            <v/>
          </cell>
          <cell r="C307" t="str">
            <v>LSPL</v>
          </cell>
          <cell r="D307" t="str">
            <v>RPH</v>
          </cell>
          <cell r="E307">
            <v>35</v>
          </cell>
          <cell r="F307" t="str">
            <v>F</v>
          </cell>
          <cell r="G307">
            <v>35104</v>
          </cell>
          <cell r="H307">
            <v>2</v>
          </cell>
          <cell r="I307">
            <v>100000000</v>
          </cell>
          <cell r="J307">
            <v>540800</v>
          </cell>
          <cell r="K307">
            <v>540800</v>
          </cell>
          <cell r="L307">
            <v>1081600</v>
          </cell>
          <cell r="M307">
            <v>20</v>
          </cell>
          <cell r="N307">
            <v>50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21100</v>
          </cell>
          <cell r="U307">
            <v>42200</v>
          </cell>
          <cell r="W307">
            <v>4553889.9366251547</v>
          </cell>
          <cell r="X307">
            <v>0</v>
          </cell>
          <cell r="Y307">
            <v>0</v>
          </cell>
          <cell r="Z307">
            <v>84400</v>
          </cell>
          <cell r="AB307">
            <v>689716.78362966131</v>
          </cell>
          <cell r="AC307">
            <v>0</v>
          </cell>
          <cell r="AD307">
            <v>0</v>
          </cell>
          <cell r="AE307">
            <v>42200</v>
          </cell>
          <cell r="AH307">
            <v>92</v>
          </cell>
          <cell r="AI307">
            <v>84</v>
          </cell>
          <cell r="AJ307">
            <v>2</v>
          </cell>
          <cell r="AK307">
            <v>6.8971678362966136E-3</v>
          </cell>
          <cell r="AL307">
            <v>0</v>
          </cell>
          <cell r="AM307">
            <v>0</v>
          </cell>
          <cell r="AN307">
            <v>5.4362910988331598E-3</v>
          </cell>
          <cell r="AO307">
            <v>1.1214748281918901E-2</v>
          </cell>
          <cell r="AP307">
            <v>1.733495053017866E-2</v>
          </cell>
          <cell r="AQ307">
            <v>2.3808530177972881E-2</v>
          </cell>
          <cell r="AR307">
            <v>3.064888376286181E-2</v>
          </cell>
          <cell r="AS307">
            <v>3.7882499648220262E-2</v>
          </cell>
          <cell r="AT307">
            <v>4.5538899366251551E-2</v>
          </cell>
          <cell r="AU307">
            <v>5.3672829262463397E-2</v>
          </cell>
          <cell r="AW307">
            <v>0</v>
          </cell>
          <cell r="AY307">
            <v>0</v>
          </cell>
          <cell r="AZ307">
            <v>0</v>
          </cell>
          <cell r="BA307">
            <v>1</v>
          </cell>
          <cell r="BC307">
            <v>0.21293020072857624</v>
          </cell>
          <cell r="BD307">
            <v>0.26616275091072028</v>
          </cell>
          <cell r="BE307">
            <v>0.40983960090272165</v>
          </cell>
          <cell r="BF307">
            <v>0.62174092171740702</v>
          </cell>
          <cell r="BG307">
            <v>0.90778274244511759</v>
          </cell>
          <cell r="BH307">
            <v>1.2747639030887401</v>
          </cell>
          <cell r="BI307">
            <v>1.7302422967208222</v>
          </cell>
          <cell r="BJ307">
            <v>2.2838364231104284</v>
          </cell>
          <cell r="BL307">
            <v>127476.390308874</v>
          </cell>
        </row>
        <row r="308">
          <cell r="A308">
            <v>10001126</v>
          </cell>
          <cell r="B308" t="str">
            <v/>
          </cell>
          <cell r="C308" t="str">
            <v>LSPL</v>
          </cell>
          <cell r="D308" t="str">
            <v>RPH</v>
          </cell>
          <cell r="E308">
            <v>30</v>
          </cell>
          <cell r="F308" t="str">
            <v>M</v>
          </cell>
          <cell r="G308">
            <v>35107</v>
          </cell>
          <cell r="H308">
            <v>1</v>
          </cell>
          <cell r="I308">
            <v>100000000</v>
          </cell>
          <cell r="J308">
            <v>910000</v>
          </cell>
          <cell r="K308">
            <v>910000</v>
          </cell>
          <cell r="L308">
            <v>910000</v>
          </cell>
          <cell r="M308">
            <v>20</v>
          </cell>
          <cell r="N308">
            <v>55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29100</v>
          </cell>
          <cell r="U308">
            <v>29100</v>
          </cell>
          <cell r="W308">
            <v>4099372.6107133059</v>
          </cell>
          <cell r="X308">
            <v>0</v>
          </cell>
          <cell r="Y308">
            <v>0</v>
          </cell>
          <cell r="Z308">
            <v>58200</v>
          </cell>
          <cell r="AB308">
            <v>593280.1786465582</v>
          </cell>
          <cell r="AC308">
            <v>0</v>
          </cell>
          <cell r="AD308">
            <v>0</v>
          </cell>
          <cell r="AE308">
            <v>29100</v>
          </cell>
          <cell r="AH308">
            <v>92</v>
          </cell>
          <cell r="AI308">
            <v>84</v>
          </cell>
          <cell r="AJ308">
            <v>1</v>
          </cell>
          <cell r="AK308">
            <v>5.9328017864655816E-3</v>
          </cell>
          <cell r="AL308">
            <v>0</v>
          </cell>
          <cell r="AM308">
            <v>6.9388939039072284E-18</v>
          </cell>
          <cell r="AN308">
            <v>4.6751692519008542E-3</v>
          </cell>
          <cell r="AO308">
            <v>9.7108477170502333E-3</v>
          </cell>
          <cell r="AP308">
            <v>1.5131083571797189E-2</v>
          </cell>
          <cell r="AQ308">
            <v>2.0952587845589919E-2</v>
          </cell>
          <cell r="AR308">
            <v>2.7194085865268162E-2</v>
          </cell>
          <cell r="AS308">
            <v>3.3866878698971398E-2</v>
          </cell>
          <cell r="AT308">
            <v>4.0993726107133061E-2</v>
          </cell>
          <cell r="AU308">
            <v>4.8600163843122018E-2</v>
          </cell>
          <cell r="AW308">
            <v>0</v>
          </cell>
          <cell r="AY308">
            <v>0</v>
          </cell>
          <cell r="AZ308">
            <v>0</v>
          </cell>
          <cell r="BA308">
            <v>1</v>
          </cell>
          <cell r="BC308">
            <v>0.19916295712615442</v>
          </cell>
          <cell r="BD308">
            <v>0.24895369640769302</v>
          </cell>
          <cell r="BE308">
            <v>0.37462322208691795</v>
          </cell>
          <cell r="BF308">
            <v>0.56278017871800523</v>
          </cell>
          <cell r="BG308">
            <v>0.82029274592250911</v>
          </cell>
          <cell r="BH308">
            <v>1.15415171307736</v>
          </cell>
          <cell r="BI308">
            <v>1.5721941569706761</v>
          </cell>
          <cell r="BJ308">
            <v>2.0829566608042196</v>
          </cell>
          <cell r="BL308">
            <v>115415.17130773599</v>
          </cell>
        </row>
        <row r="309">
          <cell r="A309">
            <v>10001127</v>
          </cell>
          <cell r="B309" t="str">
            <v/>
          </cell>
          <cell r="C309" t="str">
            <v>LSPL</v>
          </cell>
          <cell r="D309" t="str">
            <v>RPH</v>
          </cell>
          <cell r="E309">
            <v>22</v>
          </cell>
          <cell r="F309" t="str">
            <v>M</v>
          </cell>
          <cell r="G309">
            <v>35117</v>
          </cell>
          <cell r="H309">
            <v>1</v>
          </cell>
          <cell r="I309">
            <v>200000000</v>
          </cell>
          <cell r="J309">
            <v>1140000</v>
          </cell>
          <cell r="K309">
            <v>1140000</v>
          </cell>
          <cell r="L309">
            <v>1140000</v>
          </cell>
          <cell r="M309">
            <v>20</v>
          </cell>
          <cell r="N309">
            <v>63</v>
          </cell>
          <cell r="O309">
            <v>200000000</v>
          </cell>
          <cell r="P309">
            <v>500000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W309">
            <v>4678844.8855215982</v>
          </cell>
          <cell r="X309">
            <v>500000</v>
          </cell>
          <cell r="Y309">
            <v>0</v>
          </cell>
          <cell r="Z309">
            <v>0</v>
          </cell>
          <cell r="AB309">
            <v>785327.11160127725</v>
          </cell>
          <cell r="AC309">
            <v>500000</v>
          </cell>
          <cell r="AD309">
            <v>0</v>
          </cell>
          <cell r="AE309">
            <v>0</v>
          </cell>
          <cell r="AH309">
            <v>92</v>
          </cell>
          <cell r="AI309">
            <v>84</v>
          </cell>
          <cell r="AJ309">
            <v>1</v>
          </cell>
          <cell r="AK309">
            <v>3.9266355580063863E-3</v>
          </cell>
          <cell r="AL309">
            <v>0</v>
          </cell>
          <cell r="AM309">
            <v>0</v>
          </cell>
          <cell r="AN309">
            <v>2.444530694705252E-3</v>
          </cell>
          <cell r="AO309">
            <v>5.1538481421114432E-3</v>
          </cell>
          <cell r="AP309">
            <v>8.1620107519442819E-3</v>
          </cell>
          <cell r="AQ309">
            <v>1.1476363823622847E-2</v>
          </cell>
          <cell r="AR309">
            <v>1.5105099045343413E-2</v>
          </cell>
          <cell r="AS309">
            <v>1.9077021654463885E-2</v>
          </cell>
          <cell r="AT309">
            <v>2.3394224427607989E-2</v>
          </cell>
          <cell r="AU309">
            <v>2.8078875416298169E-2</v>
          </cell>
          <cell r="AW309">
            <v>0</v>
          </cell>
          <cell r="AY309">
            <v>1</v>
          </cell>
          <cell r="AZ309">
            <v>0</v>
          </cell>
          <cell r="BA309">
            <v>0</v>
          </cell>
          <cell r="BC309">
            <v>0.13764729675503487</v>
          </cell>
          <cell r="BD309">
            <v>0.17205912094379358</v>
          </cell>
          <cell r="BE309">
            <v>0.23786933623768169</v>
          </cell>
          <cell r="BF309">
            <v>0.33901282239879704</v>
          </cell>
          <cell r="BG309">
            <v>0.48031455431944026</v>
          </cell>
          <cell r="BH309">
            <v>0.66767485981096331</v>
          </cell>
          <cell r="BI309">
            <v>0.90634214995266138</v>
          </cell>
          <cell r="BJ309">
            <v>1.2027098900793267</v>
          </cell>
          <cell r="BL309">
            <v>133534.97196219265</v>
          </cell>
        </row>
        <row r="310">
          <cell r="A310">
            <v>10001129</v>
          </cell>
          <cell r="B310" t="str">
            <v/>
          </cell>
          <cell r="C310" t="str">
            <v>LSPL</v>
          </cell>
          <cell r="D310" t="str">
            <v>RPH</v>
          </cell>
          <cell r="E310">
            <v>53</v>
          </cell>
          <cell r="F310" t="str">
            <v>F</v>
          </cell>
          <cell r="G310">
            <v>35117</v>
          </cell>
          <cell r="H310">
            <v>1</v>
          </cell>
          <cell r="I310">
            <v>70000000</v>
          </cell>
          <cell r="J310">
            <v>1701000</v>
          </cell>
          <cell r="K310">
            <v>1701000</v>
          </cell>
          <cell r="L310">
            <v>1701000</v>
          </cell>
          <cell r="M310">
            <v>20</v>
          </cell>
          <cell r="N310">
            <v>32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T310">
            <v>0</v>
          </cell>
          <cell r="U310">
            <v>0</v>
          </cell>
          <cell r="W310">
            <v>8114399.433725168</v>
          </cell>
          <cell r="X310">
            <v>0</v>
          </cell>
          <cell r="Y310">
            <v>0</v>
          </cell>
          <cell r="Z310">
            <v>0</v>
          </cell>
          <cell r="AB310">
            <v>1372193.9455396153</v>
          </cell>
          <cell r="AC310">
            <v>0</v>
          </cell>
          <cell r="AD310">
            <v>0</v>
          </cell>
          <cell r="AE310">
            <v>0</v>
          </cell>
          <cell r="AH310">
            <v>92</v>
          </cell>
          <cell r="AI310">
            <v>84</v>
          </cell>
          <cell r="AJ310">
            <v>1</v>
          </cell>
          <cell r="AK310">
            <v>1.9602770650565933E-2</v>
          </cell>
          <cell r="AL310">
            <v>0</v>
          </cell>
          <cell r="AM310">
            <v>0</v>
          </cell>
          <cell r="AN310">
            <v>1.3596627441789522E-2</v>
          </cell>
          <cell r="AO310">
            <v>2.7993817807879101E-2</v>
          </cell>
          <cell r="AP310">
            <v>4.3298670494036517E-2</v>
          </cell>
          <cell r="AQ310">
            <v>5.9640914019375629E-2</v>
          </cell>
          <cell r="AR310">
            <v>7.7142426265018021E-2</v>
          </cell>
          <cell r="AS310">
            <v>9.5886746415057678E-2</v>
          </cell>
          <cell r="AT310">
            <v>0.11591999191035954</v>
          </cell>
          <cell r="AU310">
            <v>0.13726257081222368</v>
          </cell>
          <cell r="AW310">
            <v>0</v>
          </cell>
          <cell r="AY310">
            <v>0</v>
          </cell>
          <cell r="AZ310">
            <v>0</v>
          </cell>
          <cell r="BA310">
            <v>0</v>
          </cell>
          <cell r="BC310">
            <v>0.24807009158873208</v>
          </cell>
          <cell r="BD310">
            <v>0.36211676897925171</v>
          </cell>
          <cell r="BE310">
            <v>0.75395018626632027</v>
          </cell>
          <cell r="BF310">
            <v>1.3310702767440727</v>
          </cell>
          <cell r="BG310">
            <v>2.1153268178634872</v>
          </cell>
          <cell r="BH310">
            <v>3.1298014157973042</v>
          </cell>
          <cell r="BI310">
            <v>4.3978210663611268</v>
          </cell>
          <cell r="BJ310">
            <v>5.9425813081158498</v>
          </cell>
          <cell r="BL310">
            <v>219086.0991058113</v>
          </cell>
        </row>
        <row r="311">
          <cell r="A311">
            <v>10001142</v>
          </cell>
          <cell r="B311" t="str">
            <v/>
          </cell>
          <cell r="C311" t="str">
            <v>LSPL</v>
          </cell>
          <cell r="D311" t="str">
            <v>RPH</v>
          </cell>
          <cell r="E311">
            <v>27</v>
          </cell>
          <cell r="F311" t="str">
            <v>M</v>
          </cell>
          <cell r="G311">
            <v>35123</v>
          </cell>
          <cell r="H311">
            <v>2</v>
          </cell>
          <cell r="I311">
            <v>116000000</v>
          </cell>
          <cell r="J311">
            <v>416200</v>
          </cell>
          <cell r="K311">
            <v>416200</v>
          </cell>
          <cell r="L311">
            <v>832400</v>
          </cell>
          <cell r="M311">
            <v>20</v>
          </cell>
          <cell r="N311">
            <v>58</v>
          </cell>
          <cell r="O311">
            <v>116000000</v>
          </cell>
          <cell r="P311">
            <v>301600</v>
          </cell>
          <cell r="Q311">
            <v>0</v>
          </cell>
          <cell r="R311">
            <v>0</v>
          </cell>
          <cell r="T311">
            <v>0</v>
          </cell>
          <cell r="U311">
            <v>0</v>
          </cell>
          <cell r="W311">
            <v>3910400.9134520316</v>
          </cell>
          <cell r="X311">
            <v>301600</v>
          </cell>
          <cell r="Y311">
            <v>0</v>
          </cell>
          <cell r="Z311">
            <v>0</v>
          </cell>
          <cell r="AB311">
            <v>579828.95121009392</v>
          </cell>
          <cell r="AC311">
            <v>301600</v>
          </cell>
          <cell r="AD311">
            <v>0</v>
          </cell>
          <cell r="AE311">
            <v>0</v>
          </cell>
          <cell r="AH311">
            <v>92</v>
          </cell>
          <cell r="AI311">
            <v>84</v>
          </cell>
          <cell r="AJ311">
            <v>2</v>
          </cell>
          <cell r="AK311">
            <v>4.9985254414663272E-3</v>
          </cell>
          <cell r="AL311">
            <v>0</v>
          </cell>
          <cell r="AM311">
            <v>2.7755575615628914E-17</v>
          </cell>
          <cell r="AN311">
            <v>3.7547758501435963E-3</v>
          </cell>
          <cell r="AO311">
            <v>7.8345738749195509E-3</v>
          </cell>
          <cell r="AP311">
            <v>1.225953243662474E-2</v>
          </cell>
          <cell r="AQ311">
            <v>1.7041958612622012E-2</v>
          </cell>
          <cell r="AR311">
            <v>2.219563345351426E-2</v>
          </cell>
          <cell r="AS311">
            <v>2.7745737383426554E-2</v>
          </cell>
          <cell r="AT311">
            <v>3.3710352702172687E-2</v>
          </cell>
          <cell r="AU311">
            <v>4.0109715258677868E-2</v>
          </cell>
          <cell r="AW311">
            <v>0</v>
          </cell>
          <cell r="AY311">
            <v>1</v>
          </cell>
          <cell r="AZ311">
            <v>0</v>
          </cell>
          <cell r="BA311">
            <v>0</v>
          </cell>
          <cell r="BC311">
            <v>0.17440112442562727</v>
          </cell>
          <cell r="BD311">
            <v>0.21800140553203409</v>
          </cell>
          <cell r="BE311">
            <v>0.31882952388352087</v>
          </cell>
          <cell r="BF311">
            <v>0.47072642977287493</v>
          </cell>
          <cell r="BG311">
            <v>0.67961340454806074</v>
          </cell>
          <cell r="BH311">
            <v>0.95222804544529027</v>
          </cell>
          <cell r="BI311">
            <v>1.295543838872897</v>
          </cell>
          <cell r="BJ311">
            <v>1.7170840605988862</v>
          </cell>
          <cell r="BL311">
            <v>110458.45327165366</v>
          </cell>
        </row>
        <row r="312">
          <cell r="A312">
            <v>10001156</v>
          </cell>
          <cell r="B312" t="str">
            <v/>
          </cell>
          <cell r="C312" t="str">
            <v>LSPL</v>
          </cell>
          <cell r="D312" t="str">
            <v>RPH</v>
          </cell>
          <cell r="E312">
            <v>44</v>
          </cell>
          <cell r="F312" t="str">
            <v>M</v>
          </cell>
          <cell r="G312">
            <v>35111</v>
          </cell>
          <cell r="H312">
            <v>1</v>
          </cell>
          <cell r="I312">
            <v>100000000</v>
          </cell>
          <cell r="J312">
            <v>1760000</v>
          </cell>
          <cell r="K312">
            <v>1760000</v>
          </cell>
          <cell r="L312">
            <v>1760000</v>
          </cell>
          <cell r="M312">
            <v>20</v>
          </cell>
          <cell r="N312">
            <v>41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T312">
            <v>0</v>
          </cell>
          <cell r="U312">
            <v>0</v>
          </cell>
          <cell r="W312">
            <v>8920985.5781439077</v>
          </cell>
          <cell r="X312">
            <v>0</v>
          </cell>
          <cell r="Y312">
            <v>0</v>
          </cell>
          <cell r="Z312">
            <v>0</v>
          </cell>
          <cell r="AB312">
            <v>1405054.2463282291</v>
          </cell>
          <cell r="AC312">
            <v>0</v>
          </cell>
          <cell r="AD312">
            <v>0</v>
          </cell>
          <cell r="AE312">
            <v>0</v>
          </cell>
          <cell r="AH312">
            <v>92</v>
          </cell>
          <cell r="AI312">
            <v>84</v>
          </cell>
          <cell r="AJ312">
            <v>1</v>
          </cell>
          <cell r="AK312">
            <v>1.4050542463282292E-2</v>
          </cell>
          <cell r="AL312">
            <v>0</v>
          </cell>
          <cell r="AM312">
            <v>2.7755575615628914E-17</v>
          </cell>
          <cell r="AN312">
            <v>1.063539671142269E-2</v>
          </cell>
          <cell r="AO312">
            <v>2.189980067990957E-2</v>
          </cell>
          <cell r="AP312">
            <v>3.3843025959635939E-2</v>
          </cell>
          <cell r="AQ312">
            <v>4.65116642163525E-2</v>
          </cell>
          <cell r="AR312">
            <v>5.9940017795762468E-2</v>
          </cell>
          <cell r="AS312">
            <v>7.4168892932888947E-2</v>
          </cell>
          <cell r="AT312">
            <v>8.9209855781439085E-2</v>
          </cell>
          <cell r="AU312">
            <v>0.10509931135029425</v>
          </cell>
          <cell r="AW312">
            <v>0</v>
          </cell>
          <cell r="AY312">
            <v>0</v>
          </cell>
          <cell r="AZ312">
            <v>0</v>
          </cell>
          <cell r="BA312">
            <v>0</v>
          </cell>
          <cell r="BC312">
            <v>0.3407942347348103</v>
          </cell>
          <cell r="BD312">
            <v>0.42599279341851287</v>
          </cell>
          <cell r="BE312">
            <v>0.71950730397204188</v>
          </cell>
          <cell r="BF312">
            <v>1.1539233431029856</v>
          </cell>
          <cell r="BG312">
            <v>1.7424943577198728</v>
          </cell>
          <cell r="BH312">
            <v>2.4996491262232579</v>
          </cell>
          <cell r="BI312">
            <v>3.4394244644728316</v>
          </cell>
          <cell r="BJ312">
            <v>4.5776419348982031</v>
          </cell>
          <cell r="BL312">
            <v>249964.91262232579</v>
          </cell>
        </row>
        <row r="313">
          <cell r="A313">
            <v>10001168</v>
          </cell>
          <cell r="B313" t="str">
            <v/>
          </cell>
          <cell r="C313" t="str">
            <v>LSPL</v>
          </cell>
          <cell r="D313" t="str">
            <v>RPH</v>
          </cell>
          <cell r="E313">
            <v>34</v>
          </cell>
          <cell r="F313" t="str">
            <v>M</v>
          </cell>
          <cell r="G313">
            <v>35123</v>
          </cell>
          <cell r="H313">
            <v>2</v>
          </cell>
          <cell r="I313">
            <v>159200000</v>
          </cell>
          <cell r="J313">
            <v>927200</v>
          </cell>
          <cell r="K313">
            <v>927200</v>
          </cell>
          <cell r="L313">
            <v>1854400</v>
          </cell>
          <cell r="M313">
            <v>20</v>
          </cell>
          <cell r="N313">
            <v>51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T313">
            <v>34300</v>
          </cell>
          <cell r="U313">
            <v>68600</v>
          </cell>
          <cell r="W313">
            <v>8285894.5959758451</v>
          </cell>
          <cell r="X313">
            <v>0</v>
          </cell>
          <cell r="Y313">
            <v>0</v>
          </cell>
          <cell r="Z313">
            <v>137200</v>
          </cell>
          <cell r="AB313">
            <v>1204345.0673530125</v>
          </cell>
          <cell r="AC313">
            <v>0</v>
          </cell>
          <cell r="AD313">
            <v>0</v>
          </cell>
          <cell r="AE313">
            <v>68600</v>
          </cell>
          <cell r="AH313">
            <v>92</v>
          </cell>
          <cell r="AI313">
            <v>84</v>
          </cell>
          <cell r="AJ313">
            <v>2</v>
          </cell>
          <cell r="AK313">
            <v>7.5649815788505813E-3</v>
          </cell>
          <cell r="AL313">
            <v>0</v>
          </cell>
          <cell r="AM313">
            <v>0</v>
          </cell>
          <cell r="AN313">
            <v>6.0890431445708992E-3</v>
          </cell>
          <cell r="AO313">
            <v>1.2592100621972427E-2</v>
          </cell>
          <cell r="AP313">
            <v>1.9529848922714643E-2</v>
          </cell>
          <cell r="AQ313">
            <v>2.6925525655462745E-2</v>
          </cell>
          <cell r="AR313">
            <v>3.4795560009428891E-2</v>
          </cell>
          <cell r="AS313">
            <v>4.3158940995359954E-2</v>
          </cell>
          <cell r="AT313">
            <v>5.2047076607888473E-2</v>
          </cell>
          <cell r="AU313">
            <v>6.1495290952981167E-2</v>
          </cell>
          <cell r="AW313">
            <v>0</v>
          </cell>
          <cell r="AY313">
            <v>0</v>
          </cell>
          <cell r="AZ313">
            <v>0</v>
          </cell>
          <cell r="BA313">
            <v>1</v>
          </cell>
          <cell r="BC313">
            <v>0.23934822163458114</v>
          </cell>
          <cell r="BD313">
            <v>0.29918527704322639</v>
          </cell>
          <cell r="BE313">
            <v>0.46314359605487421</v>
          </cell>
          <cell r="BF313">
            <v>0.70686391223768186</v>
          </cell>
          <cell r="BG313">
            <v>1.0381313905214216</v>
          </cell>
          <cell r="BH313">
            <v>1.4652513139076275</v>
          </cell>
          <cell r="BI313">
            <v>1.9976112274484417</v>
          </cell>
          <cell r="BJ313">
            <v>2.6455744458382329</v>
          </cell>
          <cell r="BL313">
            <v>233268.0091740943</v>
          </cell>
        </row>
        <row r="314">
          <cell r="A314">
            <v>10001176</v>
          </cell>
          <cell r="B314" t="str">
            <v/>
          </cell>
          <cell r="C314" t="str">
            <v>LSPL</v>
          </cell>
          <cell r="D314" t="str">
            <v>RPH</v>
          </cell>
          <cell r="E314">
            <v>28</v>
          </cell>
          <cell r="F314" t="str">
            <v>M</v>
          </cell>
          <cell r="G314">
            <v>35123</v>
          </cell>
          <cell r="H314">
            <v>1</v>
          </cell>
          <cell r="I314">
            <v>112000000</v>
          </cell>
          <cell r="J314">
            <v>806400</v>
          </cell>
          <cell r="K314">
            <v>806400</v>
          </cell>
          <cell r="L314">
            <v>806400</v>
          </cell>
          <cell r="M314">
            <v>20</v>
          </cell>
          <cell r="N314">
            <v>57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T314">
            <v>24200</v>
          </cell>
          <cell r="U314">
            <v>24200</v>
          </cell>
          <cell r="W314">
            <v>4037055.7535642027</v>
          </cell>
          <cell r="X314">
            <v>0</v>
          </cell>
          <cell r="Y314">
            <v>0</v>
          </cell>
          <cell r="Z314">
            <v>48400</v>
          </cell>
          <cell r="AB314">
            <v>591851.10993158573</v>
          </cell>
          <cell r="AC314">
            <v>0</v>
          </cell>
          <cell r="AD314">
            <v>0</v>
          </cell>
          <cell r="AE314">
            <v>24200</v>
          </cell>
          <cell r="AH314">
            <v>92</v>
          </cell>
          <cell r="AI314">
            <v>84</v>
          </cell>
          <cell r="AJ314">
            <v>1</v>
          </cell>
          <cell r="AK314">
            <v>5.2843849101034445E-3</v>
          </cell>
          <cell r="AL314">
            <v>0</v>
          </cell>
          <cell r="AM314">
            <v>1.3877787807814457E-17</v>
          </cell>
          <cell r="AN314">
            <v>4.0469402893103523E-3</v>
          </cell>
          <cell r="AO314">
            <v>8.4359073051450267E-3</v>
          </cell>
          <cell r="AP314">
            <v>1.3178840427390183E-2</v>
          </cell>
          <cell r="AQ314">
            <v>1.8289116265284101E-2</v>
          </cell>
          <cell r="AR314">
            <v>2.3791509725136474E-2</v>
          </cell>
          <cell r="AS314">
            <v>2.9703617568426779E-2</v>
          </cell>
          <cell r="AT314">
            <v>3.6045140656823238E-2</v>
          </cell>
          <cell r="AU314">
            <v>4.2828545092564833E-2</v>
          </cell>
          <cell r="AW314">
            <v>0</v>
          </cell>
          <cell r="AY314">
            <v>0</v>
          </cell>
          <cell r="AZ314">
            <v>0</v>
          </cell>
          <cell r="BA314">
            <v>1</v>
          </cell>
          <cell r="BC314">
            <v>0.18212293987714914</v>
          </cell>
          <cell r="BD314">
            <v>0.22765367484643642</v>
          </cell>
          <cell r="BE314">
            <v>0.33639436440006404</v>
          </cell>
          <cell r="BF314">
            <v>0.49970707248572477</v>
          </cell>
          <cell r="BG314">
            <v>0.72410238230045654</v>
          </cell>
          <cell r="BH314">
            <v>1.0163493776507031</v>
          </cell>
          <cell r="BI314">
            <v>1.3837387330053013</v>
          </cell>
          <cell r="BJ314">
            <v>1.833642330012089</v>
          </cell>
          <cell r="BL314">
            <v>113831.13029687873</v>
          </cell>
        </row>
        <row r="315">
          <cell r="A315">
            <v>10001201</v>
          </cell>
          <cell r="B315" t="str">
            <v/>
          </cell>
          <cell r="C315" t="str">
            <v>LSPL</v>
          </cell>
          <cell r="D315" t="str">
            <v>RPH</v>
          </cell>
          <cell r="E315">
            <v>28</v>
          </cell>
          <cell r="F315" t="str">
            <v>M</v>
          </cell>
          <cell r="G315">
            <v>35092</v>
          </cell>
          <cell r="H315">
            <v>1</v>
          </cell>
          <cell r="I315">
            <v>140000000</v>
          </cell>
          <cell r="J315">
            <v>1162000</v>
          </cell>
          <cell r="K315">
            <v>1162000</v>
          </cell>
          <cell r="L315">
            <v>1162000</v>
          </cell>
          <cell r="M315">
            <v>20</v>
          </cell>
          <cell r="N315">
            <v>57</v>
          </cell>
          <cell r="O315">
            <v>140000000</v>
          </cell>
          <cell r="P315">
            <v>350000</v>
          </cell>
          <cell r="Q315">
            <v>0</v>
          </cell>
          <cell r="R315">
            <v>0</v>
          </cell>
          <cell r="T315">
            <v>34900</v>
          </cell>
          <cell r="U315">
            <v>34900</v>
          </cell>
          <cell r="W315">
            <v>5046319.6919552535</v>
          </cell>
          <cell r="X315">
            <v>350000</v>
          </cell>
          <cell r="Y315">
            <v>0</v>
          </cell>
          <cell r="Z315">
            <v>69800</v>
          </cell>
          <cell r="AB315">
            <v>739813.88741448219</v>
          </cell>
          <cell r="AC315">
            <v>350000</v>
          </cell>
          <cell r="AD315">
            <v>0</v>
          </cell>
          <cell r="AE315">
            <v>34900</v>
          </cell>
          <cell r="AH315">
            <v>93</v>
          </cell>
          <cell r="AI315">
            <v>84</v>
          </cell>
          <cell r="AJ315">
            <v>1</v>
          </cell>
          <cell r="AK315">
            <v>5.2843849101034445E-3</v>
          </cell>
          <cell r="AL315">
            <v>0</v>
          </cell>
          <cell r="AM315">
            <v>1.3877787807814457E-17</v>
          </cell>
          <cell r="AN315">
            <v>4.0469402893103523E-3</v>
          </cell>
          <cell r="AO315">
            <v>8.4359073051450267E-3</v>
          </cell>
          <cell r="AP315">
            <v>1.3178840427390183E-2</v>
          </cell>
          <cell r="AQ315">
            <v>1.8289116265284101E-2</v>
          </cell>
          <cell r="AR315">
            <v>2.3791509725136474E-2</v>
          </cell>
          <cell r="AS315">
            <v>2.9703617568426779E-2</v>
          </cell>
          <cell r="AT315">
            <v>3.6045140656823238E-2</v>
          </cell>
          <cell r="AU315">
            <v>4.2828545092564833E-2</v>
          </cell>
          <cell r="AW315">
            <v>0</v>
          </cell>
          <cell r="AY315">
            <v>1</v>
          </cell>
          <cell r="AZ315">
            <v>0</v>
          </cell>
          <cell r="BA315">
            <v>1</v>
          </cell>
          <cell r="BC315">
            <v>0.18212293987714914</v>
          </cell>
          <cell r="BD315">
            <v>0.22765367484643642</v>
          </cell>
          <cell r="BE315">
            <v>0.33639436440006404</v>
          </cell>
          <cell r="BF315">
            <v>0.49970707248572477</v>
          </cell>
          <cell r="BG315">
            <v>0.72410238230045654</v>
          </cell>
          <cell r="BH315">
            <v>1.0163493776507031</v>
          </cell>
          <cell r="BI315">
            <v>1.3837387330053013</v>
          </cell>
          <cell r="BJ315">
            <v>1.833642330012089</v>
          </cell>
          <cell r="BL315">
            <v>142288.91287109844</v>
          </cell>
        </row>
        <row r="316">
          <cell r="A316">
            <v>10001202</v>
          </cell>
          <cell r="B316" t="str">
            <v/>
          </cell>
          <cell r="C316" t="str">
            <v>LSPL</v>
          </cell>
          <cell r="D316" t="str">
            <v>RPH</v>
          </cell>
          <cell r="E316">
            <v>25</v>
          </cell>
          <cell r="F316" t="str">
            <v>M</v>
          </cell>
          <cell r="G316">
            <v>35143</v>
          </cell>
          <cell r="H316">
            <v>1</v>
          </cell>
          <cell r="I316">
            <v>225000000</v>
          </cell>
          <cell r="J316">
            <v>1192500</v>
          </cell>
          <cell r="K316">
            <v>1192500</v>
          </cell>
          <cell r="L316">
            <v>1192500</v>
          </cell>
          <cell r="M316">
            <v>20</v>
          </cell>
          <cell r="N316">
            <v>60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T316">
            <v>33400</v>
          </cell>
          <cell r="U316">
            <v>33400</v>
          </cell>
          <cell r="W316">
            <v>6596016.4503625855</v>
          </cell>
          <cell r="X316">
            <v>0</v>
          </cell>
          <cell r="Y316">
            <v>0</v>
          </cell>
          <cell r="Z316">
            <v>66800</v>
          </cell>
          <cell r="AB316">
            <v>1012833.1314321215</v>
          </cell>
          <cell r="AC316">
            <v>0</v>
          </cell>
          <cell r="AD316">
            <v>0</v>
          </cell>
          <cell r="AE316">
            <v>33400</v>
          </cell>
          <cell r="AH316">
            <v>91</v>
          </cell>
          <cell r="AI316">
            <v>84</v>
          </cell>
          <cell r="AJ316">
            <v>1</v>
          </cell>
          <cell r="AK316">
            <v>4.5014805841427624E-3</v>
          </cell>
          <cell r="AL316">
            <v>0</v>
          </cell>
          <cell r="AM316">
            <v>1.3877787807814457E-17</v>
          </cell>
          <cell r="AN316">
            <v>3.1921042560360061E-3</v>
          </cell>
          <cell r="AO316">
            <v>6.6874430033306009E-3</v>
          </cell>
          <cell r="AP316">
            <v>1.0513800170636009E-2</v>
          </cell>
          <cell r="AQ316">
            <v>1.4671891676392206E-2</v>
          </cell>
          <cell r="AR316">
            <v>1.9182545218114758E-2</v>
          </cell>
          <cell r="AS316">
            <v>2.4058894133901762E-2</v>
          </cell>
          <cell r="AT316">
            <v>2.9315628668278158E-2</v>
          </cell>
          <cell r="AU316">
            <v>3.4978857857961849E-2</v>
          </cell>
          <cell r="AW316">
            <v>0</v>
          </cell>
          <cell r="AY316">
            <v>0</v>
          </cell>
          <cell r="AZ316">
            <v>0</v>
          </cell>
          <cell r="BA316">
            <v>1</v>
          </cell>
          <cell r="BC316">
            <v>0.16065116640341157</v>
          </cell>
          <cell r="BD316">
            <v>0.20081395800426444</v>
          </cell>
          <cell r="BE316">
            <v>0.28679514188965249</v>
          </cell>
          <cell r="BF316">
            <v>0.41704105037921058</v>
          </cell>
          <cell r="BG316">
            <v>0.59729575859169948</v>
          </cell>
          <cell r="BH316">
            <v>0.83344297923457544</v>
          </cell>
          <cell r="BI316">
            <v>1.131750752152866</v>
          </cell>
          <cell r="BJ316">
            <v>1.4994529731220798</v>
          </cell>
          <cell r="BL316">
            <v>187524.67032777946</v>
          </cell>
        </row>
        <row r="317">
          <cell r="A317">
            <v>10001203</v>
          </cell>
          <cell r="B317" t="str">
            <v/>
          </cell>
          <cell r="C317" t="str">
            <v>LSPL</v>
          </cell>
          <cell r="D317" t="str">
            <v>RPH</v>
          </cell>
          <cell r="E317">
            <v>31</v>
          </cell>
          <cell r="F317" t="str">
            <v>F</v>
          </cell>
          <cell r="G317">
            <v>35150</v>
          </cell>
          <cell r="H317">
            <v>1</v>
          </cell>
          <cell r="I317">
            <v>150000000</v>
          </cell>
          <cell r="J317">
            <v>1110000</v>
          </cell>
          <cell r="K317">
            <v>1110000</v>
          </cell>
          <cell r="L317">
            <v>1110000</v>
          </cell>
          <cell r="M317">
            <v>20</v>
          </cell>
          <cell r="N317">
            <v>54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T317">
            <v>36600</v>
          </cell>
          <cell r="U317">
            <v>36600</v>
          </cell>
          <cell r="W317">
            <v>5511230.7507244805</v>
          </cell>
          <cell r="X317">
            <v>0</v>
          </cell>
          <cell r="Y317">
            <v>0</v>
          </cell>
          <cell r="Z317">
            <v>73200</v>
          </cell>
          <cell r="AB317">
            <v>815099.0695770086</v>
          </cell>
          <cell r="AC317">
            <v>0</v>
          </cell>
          <cell r="AD317">
            <v>0</v>
          </cell>
          <cell r="AE317">
            <v>36600</v>
          </cell>
          <cell r="AH317">
            <v>91</v>
          </cell>
          <cell r="AI317">
            <v>84</v>
          </cell>
          <cell r="AJ317">
            <v>1</v>
          </cell>
          <cell r="AK317">
            <v>5.433993797180057E-3</v>
          </cell>
          <cell r="AL317">
            <v>0</v>
          </cell>
          <cell r="AM317">
            <v>0</v>
          </cell>
          <cell r="AN317">
            <v>4.2397204864084506E-3</v>
          </cell>
          <cell r="AO317">
            <v>8.788913735336773E-3</v>
          </cell>
          <cell r="AP317">
            <v>1.3676791790443329E-2</v>
          </cell>
          <cell r="AQ317">
            <v>1.8912730678986897E-2</v>
          </cell>
          <cell r="AR317">
            <v>2.4496200226095236E-2</v>
          </cell>
          <cell r="AS317">
            <v>3.0438519909245544E-2</v>
          </cell>
          <cell r="AT317">
            <v>3.6741538338163203E-2</v>
          </cell>
          <cell r="AU317">
            <v>4.3419172379432498E-2</v>
          </cell>
          <cell r="AW317">
            <v>0</v>
          </cell>
          <cell r="AY317">
            <v>0</v>
          </cell>
          <cell r="AZ317">
            <v>0</v>
          </cell>
          <cell r="BA317">
            <v>1</v>
          </cell>
          <cell r="BC317">
            <v>0.17880287510175011</v>
          </cell>
          <cell r="BD317">
            <v>0.22350359387718763</v>
          </cell>
          <cell r="BE317">
            <v>0.3365703304544298</v>
          </cell>
          <cell r="BF317">
            <v>0.50540933409865452</v>
          </cell>
          <cell r="BG317">
            <v>0.73531001391881368</v>
          </cell>
          <cell r="BH317">
            <v>1.0320847506228477</v>
          </cell>
          <cell r="BI317">
            <v>1.4013575369094666</v>
          </cell>
          <cell r="BJ317">
            <v>1.8494729809369266</v>
          </cell>
          <cell r="BL317">
            <v>154812.71259342716</v>
          </cell>
        </row>
        <row r="318">
          <cell r="A318">
            <v>10001205</v>
          </cell>
          <cell r="B318" t="str">
            <v/>
          </cell>
          <cell r="C318" t="str">
            <v>LSPL</v>
          </cell>
          <cell r="D318" t="str">
            <v>RPH</v>
          </cell>
          <cell r="E318">
            <v>29</v>
          </cell>
          <cell r="F318" t="str">
            <v>F</v>
          </cell>
          <cell r="G318">
            <v>35143</v>
          </cell>
          <cell r="H318">
            <v>2</v>
          </cell>
          <cell r="I318">
            <v>175000000</v>
          </cell>
          <cell r="J318">
            <v>609700</v>
          </cell>
          <cell r="K318">
            <v>609700</v>
          </cell>
          <cell r="L318">
            <v>1219400</v>
          </cell>
          <cell r="M318">
            <v>20</v>
          </cell>
          <cell r="N318">
            <v>56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T318">
            <v>18900</v>
          </cell>
          <cell r="U318">
            <v>37800</v>
          </cell>
          <cell r="W318">
            <v>5702042.872530276</v>
          </cell>
          <cell r="X318">
            <v>0</v>
          </cell>
          <cell r="Y318">
            <v>0</v>
          </cell>
          <cell r="Z318">
            <v>75600</v>
          </cell>
          <cell r="AB318">
            <v>847605.13218115596</v>
          </cell>
          <cell r="AC318">
            <v>0</v>
          </cell>
          <cell r="AD318">
            <v>0</v>
          </cell>
          <cell r="AE318">
            <v>37800</v>
          </cell>
          <cell r="AH318">
            <v>91</v>
          </cell>
          <cell r="AI318">
            <v>84</v>
          </cell>
          <cell r="AJ318">
            <v>2</v>
          </cell>
          <cell r="AK318">
            <v>4.8434578981780343E-3</v>
          </cell>
          <cell r="AL318">
            <v>0</v>
          </cell>
          <cell r="AM318">
            <v>0</v>
          </cell>
          <cell r="AN318">
            <v>3.7097137630477395E-3</v>
          </cell>
          <cell r="AO318">
            <v>7.702535350964268E-3</v>
          </cell>
          <cell r="AP318">
            <v>1.2004926970608898E-2</v>
          </cell>
          <cell r="AQ318">
            <v>1.6623179157265335E-2</v>
          </cell>
          <cell r="AR318">
            <v>2.1587102911473859E-2</v>
          </cell>
          <cell r="AS318">
            <v>2.6906914299977013E-2</v>
          </cell>
          <cell r="AT318">
            <v>3.2583102128744434E-2</v>
          </cell>
          <cell r="AU318">
            <v>3.8628017981876699E-2</v>
          </cell>
          <cell r="AW318">
            <v>0</v>
          </cell>
          <cell r="AY318">
            <v>0</v>
          </cell>
          <cell r="AZ318">
            <v>0</v>
          </cell>
          <cell r="BA318">
            <v>1</v>
          </cell>
          <cell r="BC318">
            <v>0.16398437867466883</v>
          </cell>
          <cell r="BD318">
            <v>0.20498047334333605</v>
          </cell>
          <cell r="BE318">
            <v>0.30353454753259673</v>
          </cell>
          <cell r="BF318">
            <v>0.45098844362074664</v>
          </cell>
          <cell r="BG318">
            <v>0.65323364855749411</v>
          </cell>
          <cell r="BH318">
            <v>0.91598812034828547</v>
          </cell>
          <cell r="BI318">
            <v>1.2447457335498948</v>
          </cell>
          <cell r="BJ318">
            <v>1.6456797033806772</v>
          </cell>
          <cell r="BL318">
            <v>160297.92106094994</v>
          </cell>
        </row>
        <row r="319">
          <cell r="A319">
            <v>10001220</v>
          </cell>
          <cell r="B319" t="str">
            <v/>
          </cell>
          <cell r="C319" t="str">
            <v>LSPL</v>
          </cell>
          <cell r="D319" t="str">
            <v>RPH</v>
          </cell>
          <cell r="E319">
            <v>49</v>
          </cell>
          <cell r="F319" t="str">
            <v>F</v>
          </cell>
          <cell r="G319">
            <v>35156</v>
          </cell>
          <cell r="H319">
            <v>2</v>
          </cell>
          <cell r="I319">
            <v>51547000</v>
          </cell>
          <cell r="J319">
            <v>520000</v>
          </cell>
          <cell r="K319">
            <v>520000</v>
          </cell>
          <cell r="L319">
            <v>1040000</v>
          </cell>
          <cell r="M319">
            <v>20</v>
          </cell>
          <cell r="N319">
            <v>36</v>
          </cell>
          <cell r="O319">
            <v>51551000</v>
          </cell>
          <cell r="P319">
            <v>134000</v>
          </cell>
          <cell r="Q319">
            <v>0</v>
          </cell>
          <cell r="R319">
            <v>0</v>
          </cell>
          <cell r="T319">
            <v>51500</v>
          </cell>
          <cell r="U319">
            <v>103000</v>
          </cell>
          <cell r="W319">
            <v>4797747.4948494816</v>
          </cell>
          <cell r="X319">
            <v>134000</v>
          </cell>
          <cell r="Y319">
            <v>0</v>
          </cell>
          <cell r="Z319">
            <v>206000</v>
          </cell>
          <cell r="AB319">
            <v>802189.77205994236</v>
          </cell>
          <cell r="AC319">
            <v>134000</v>
          </cell>
          <cell r="AD319">
            <v>0</v>
          </cell>
          <cell r="AE319">
            <v>103000</v>
          </cell>
          <cell r="AH319">
            <v>90</v>
          </cell>
          <cell r="AI319">
            <v>84</v>
          </cell>
          <cell r="AJ319">
            <v>2</v>
          </cell>
          <cell r="AK319">
            <v>1.5562297942847157E-2</v>
          </cell>
          <cell r="AL319">
            <v>0</v>
          </cell>
          <cell r="AM319">
            <v>5.5511151231257827E-17</v>
          </cell>
          <cell r="AN319">
            <v>1.1129060651014128E-2</v>
          </cell>
          <cell r="AO319">
            <v>2.2913508810535471E-2</v>
          </cell>
          <cell r="AP319">
            <v>3.5371438111852588E-2</v>
          </cell>
          <cell r="AQ319">
            <v>4.8536887442790472E-2</v>
          </cell>
          <cell r="AR319">
            <v>6.248282048874515E-2</v>
          </cell>
          <cell r="AS319">
            <v>7.7291205305558816E-2</v>
          </cell>
          <cell r="AT319">
            <v>9.3075203112683219E-2</v>
          </cell>
          <cell r="AU319">
            <v>0.10997072338867823</v>
          </cell>
          <cell r="AW319">
            <v>0</v>
          </cell>
          <cell r="AY319">
            <v>1</v>
          </cell>
          <cell r="AZ319">
            <v>0</v>
          </cell>
          <cell r="BA319">
            <v>1</v>
          </cell>
          <cell r="BC319">
            <v>0.23079915731104092</v>
          </cell>
          <cell r="BD319">
            <v>0.28849894663880116</v>
          </cell>
          <cell r="BE319">
            <v>0.5935521203509635</v>
          </cell>
          <cell r="BF319">
            <v>1.0432978414769225</v>
          </cell>
          <cell r="BG319">
            <v>1.6520127537509781</v>
          </cell>
          <cell r="BH319">
            <v>2.4360957518640172</v>
          </cell>
          <cell r="BI319">
            <v>3.4154559666444064</v>
          </cell>
          <cell r="BJ319">
            <v>4.6139727303575171</v>
          </cell>
          <cell r="BL319">
            <v>125573.42772133449</v>
          </cell>
        </row>
        <row r="320">
          <cell r="A320">
            <v>10001235</v>
          </cell>
          <cell r="B320" t="str">
            <v/>
          </cell>
          <cell r="C320" t="str">
            <v>LSPL</v>
          </cell>
          <cell r="D320" t="str">
            <v>RPH</v>
          </cell>
          <cell r="E320">
            <v>39</v>
          </cell>
          <cell r="F320" t="str">
            <v>M</v>
          </cell>
          <cell r="G320">
            <v>35181</v>
          </cell>
          <cell r="H320">
            <v>1</v>
          </cell>
          <cell r="I320">
            <v>310000000</v>
          </cell>
          <cell r="J320">
            <v>3751000</v>
          </cell>
          <cell r="K320">
            <v>3751000</v>
          </cell>
          <cell r="L320">
            <v>3751000</v>
          </cell>
          <cell r="M320">
            <v>20</v>
          </cell>
          <cell r="N320">
            <v>46</v>
          </cell>
          <cell r="O320">
            <v>310000000</v>
          </cell>
          <cell r="P320">
            <v>465000</v>
          </cell>
          <cell r="Q320">
            <v>0</v>
          </cell>
          <cell r="R320">
            <v>0</v>
          </cell>
          <cell r="T320">
            <v>241100</v>
          </cell>
          <cell r="U320">
            <v>241100</v>
          </cell>
          <cell r="W320">
            <v>21212166.780610744</v>
          </cell>
          <cell r="X320">
            <v>465000</v>
          </cell>
          <cell r="Y320">
            <v>0</v>
          </cell>
          <cell r="Z320">
            <v>482200</v>
          </cell>
          <cell r="AB320">
            <v>3201265.1121476917</v>
          </cell>
          <cell r="AC320">
            <v>465000</v>
          </cell>
          <cell r="AD320">
            <v>0</v>
          </cell>
          <cell r="AE320">
            <v>241100</v>
          </cell>
          <cell r="AH320">
            <v>90</v>
          </cell>
          <cell r="AI320">
            <v>84</v>
          </cell>
          <cell r="AJ320">
            <v>1</v>
          </cell>
          <cell r="AK320">
            <v>1.0326661652089328E-2</v>
          </cell>
          <cell r="AL320">
            <v>0</v>
          </cell>
          <cell r="AM320">
            <v>0</v>
          </cell>
          <cell r="AN320">
            <v>8.1316759801147165E-3</v>
          </cell>
          <cell r="AO320">
            <v>1.6756896605493288E-2</v>
          </cell>
          <cell r="AP320">
            <v>2.5907194191214344E-2</v>
          </cell>
          <cell r="AQ320">
            <v>3.5608404740304453E-2</v>
          </cell>
          <cell r="AR320">
            <v>4.5899804513432937E-2</v>
          </cell>
          <cell r="AS320">
            <v>5.6825633366241621E-2</v>
          </cell>
          <cell r="AT320">
            <v>6.8426344453583046E-2</v>
          </cell>
          <cell r="AU320">
            <v>8.0757364882985752E-2</v>
          </cell>
          <cell r="AW320">
            <v>0</v>
          </cell>
          <cell r="AY320">
            <v>1</v>
          </cell>
          <cell r="AZ320">
            <v>0</v>
          </cell>
          <cell r="BA320">
            <v>1</v>
          </cell>
          <cell r="BC320">
            <v>0.29046883359110875</v>
          </cell>
          <cell r="BD320">
            <v>0.36308604198888594</v>
          </cell>
          <cell r="BE320">
            <v>0.58358118450562246</v>
          </cell>
          <cell r="BF320">
            <v>0.90968294226468926</v>
          </cell>
          <cell r="BG320">
            <v>1.3517032690449255</v>
          </cell>
          <cell r="BH320">
            <v>1.9211159778883737</v>
          </cell>
          <cell r="BI320">
            <v>2.6302834282505394</v>
          </cell>
          <cell r="BJ320">
            <v>3.4933999164437664</v>
          </cell>
          <cell r="BL320">
            <v>595545.95314539585</v>
          </cell>
        </row>
        <row r="321">
          <cell r="A321">
            <v>10001279</v>
          </cell>
          <cell r="B321" t="str">
            <v/>
          </cell>
          <cell r="C321" t="str">
            <v>LSPL</v>
          </cell>
          <cell r="D321" t="str">
            <v>RPH</v>
          </cell>
          <cell r="E321">
            <v>32</v>
          </cell>
          <cell r="F321" t="str">
            <v>M</v>
          </cell>
          <cell r="G321">
            <v>35183</v>
          </cell>
          <cell r="H321">
            <v>2</v>
          </cell>
          <cell r="I321">
            <v>113636000</v>
          </cell>
          <cell r="J321">
            <v>520000</v>
          </cell>
          <cell r="K321">
            <v>520000</v>
          </cell>
          <cell r="L321">
            <v>1040000</v>
          </cell>
          <cell r="M321">
            <v>20</v>
          </cell>
          <cell r="N321">
            <v>53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T321">
            <v>0</v>
          </cell>
          <cell r="U321">
            <v>0</v>
          </cell>
          <cell r="W321">
            <v>5265046.7545404565</v>
          </cell>
          <cell r="X321">
            <v>0</v>
          </cell>
          <cell r="Y321">
            <v>0</v>
          </cell>
          <cell r="Z321">
            <v>0</v>
          </cell>
          <cell r="AB321">
            <v>760214.22862052417</v>
          </cell>
          <cell r="AC321">
            <v>0</v>
          </cell>
          <cell r="AD321">
            <v>0</v>
          </cell>
          <cell r="AE321">
            <v>0</v>
          </cell>
          <cell r="AH321">
            <v>90</v>
          </cell>
          <cell r="AI321">
            <v>84</v>
          </cell>
          <cell r="AJ321">
            <v>2</v>
          </cell>
          <cell r="AK321">
            <v>6.6899066195617958E-3</v>
          </cell>
          <cell r="AL321">
            <v>0</v>
          </cell>
          <cell r="AM321">
            <v>0</v>
          </cell>
          <cell r="AN321">
            <v>5.352435464478042E-3</v>
          </cell>
          <cell r="AO321">
            <v>1.1098905628141087E-2</v>
          </cell>
          <cell r="AP321">
            <v>1.7257253590287069E-2</v>
          </cell>
          <cell r="AQ321">
            <v>2.3837708111554064E-2</v>
          </cell>
          <cell r="AR321">
            <v>3.0861946303211263E-2</v>
          </cell>
          <cell r="AS321">
            <v>3.8354309234571331E-2</v>
          </cell>
          <cell r="AT321">
            <v>4.6332559704147069E-2</v>
          </cell>
          <cell r="AU321">
            <v>5.4817162354258604E-2</v>
          </cell>
          <cell r="AW321">
            <v>0</v>
          </cell>
          <cell r="AY321">
            <v>0</v>
          </cell>
          <cell r="AZ321">
            <v>0</v>
          </cell>
          <cell r="BA321">
            <v>0</v>
          </cell>
          <cell r="BC321">
            <v>0.21828614938816021</v>
          </cell>
          <cell r="BD321">
            <v>0.27285768673520022</v>
          </cell>
          <cell r="BE321">
            <v>0.41710653837050449</v>
          </cell>
          <cell r="BF321">
            <v>0.63200739617239243</v>
          </cell>
          <cell r="BG321">
            <v>0.92491627066506665</v>
          </cell>
          <cell r="BH321">
            <v>1.3038207896808134</v>
          </cell>
          <cell r="BI321">
            <v>1.7769714534830221</v>
          </cell>
          <cell r="BJ321">
            <v>2.3532137420334638</v>
          </cell>
          <cell r="BL321">
            <v>148160.97925616891</v>
          </cell>
        </row>
        <row r="322">
          <cell r="A322">
            <v>10001286</v>
          </cell>
          <cell r="B322" t="str">
            <v/>
          </cell>
          <cell r="C322" t="str">
            <v>LSPL</v>
          </cell>
          <cell r="D322" t="str">
            <v>RPH</v>
          </cell>
          <cell r="E322">
            <v>46</v>
          </cell>
          <cell r="F322" t="str">
            <v>M</v>
          </cell>
          <cell r="G322">
            <v>35174</v>
          </cell>
          <cell r="H322">
            <v>1</v>
          </cell>
          <cell r="I322">
            <v>60000000</v>
          </cell>
          <cell r="J322">
            <v>1356000</v>
          </cell>
          <cell r="K322">
            <v>1356000</v>
          </cell>
          <cell r="L322">
            <v>1356000</v>
          </cell>
          <cell r="M322">
            <v>20</v>
          </cell>
          <cell r="N322">
            <v>39</v>
          </cell>
          <cell r="O322">
            <v>60000000</v>
          </cell>
          <cell r="P322">
            <v>150000</v>
          </cell>
          <cell r="Q322">
            <v>0</v>
          </cell>
          <cell r="R322">
            <v>0</v>
          </cell>
          <cell r="T322">
            <v>108500</v>
          </cell>
          <cell r="U322">
            <v>108500</v>
          </cell>
          <cell r="W322">
            <v>5924745.8416440031</v>
          </cell>
          <cell r="X322">
            <v>150000</v>
          </cell>
          <cell r="Y322">
            <v>0</v>
          </cell>
          <cell r="Z322">
            <v>217000</v>
          </cell>
          <cell r="AB322">
            <v>952880.57136788196</v>
          </cell>
          <cell r="AC322">
            <v>150000</v>
          </cell>
          <cell r="AD322">
            <v>0</v>
          </cell>
          <cell r="AE322">
            <v>108500</v>
          </cell>
          <cell r="AH322">
            <v>90</v>
          </cell>
          <cell r="AI322">
            <v>84</v>
          </cell>
          <cell r="AJ322">
            <v>1</v>
          </cell>
          <cell r="AK322">
            <v>1.5881342856131367E-2</v>
          </cell>
          <cell r="AL322">
            <v>0</v>
          </cell>
          <cell r="AM322">
            <v>0</v>
          </cell>
          <cell r="AN322">
            <v>1.1846173050150399E-2</v>
          </cell>
          <cell r="AO322">
            <v>2.4398652292030309E-2</v>
          </cell>
          <cell r="AP322">
            <v>3.7688663477561279E-2</v>
          </cell>
          <cell r="AQ322">
            <v>5.1753581977567853E-2</v>
          </cell>
          <cell r="AR322">
            <v>6.660022780689881E-2</v>
          </cell>
          <cell r="AS322">
            <v>8.226013898040975E-2</v>
          </cell>
          <cell r="AT322">
            <v>9.8745764027400054E-2</v>
          </cell>
          <cell r="AU322">
            <v>0.1160956641006974</v>
          </cell>
          <cell r="AW322">
            <v>0</v>
          </cell>
          <cell r="AY322">
            <v>1</v>
          </cell>
          <cell r="AZ322">
            <v>0</v>
          </cell>
          <cell r="BA322">
            <v>1</v>
          </cell>
          <cell r="BC322">
            <v>0.33995201902085659</v>
          </cell>
          <cell r="BD322">
            <v>0.42494002377607071</v>
          </cell>
          <cell r="BE322">
            <v>0.75441785857329557</v>
          </cell>
          <cell r="BF322">
            <v>1.241048816841186</v>
          </cell>
          <cell r="BG322">
            <v>1.8979916969877797</v>
          </cell>
          <cell r="BH322">
            <v>2.7397821002284468</v>
          </cell>
          <cell r="BI322">
            <v>3.7808651239221955</v>
          </cell>
          <cell r="BJ322">
            <v>5.0375725245900185</v>
          </cell>
          <cell r="BL322">
            <v>164386.9260137068</v>
          </cell>
        </row>
        <row r="323">
          <cell r="A323">
            <v>10001293</v>
          </cell>
          <cell r="B323" t="str">
            <v/>
          </cell>
          <cell r="C323" t="str">
            <v>LSPL</v>
          </cell>
          <cell r="D323" t="str">
            <v>RPH</v>
          </cell>
          <cell r="E323">
            <v>35</v>
          </cell>
          <cell r="F323" t="str">
            <v>F</v>
          </cell>
          <cell r="G323">
            <v>35171</v>
          </cell>
          <cell r="H323">
            <v>1</v>
          </cell>
          <cell r="I323">
            <v>175000000</v>
          </cell>
          <cell r="J323">
            <v>1592500</v>
          </cell>
          <cell r="K323">
            <v>1592500</v>
          </cell>
          <cell r="L323">
            <v>1592500</v>
          </cell>
          <cell r="M323">
            <v>20</v>
          </cell>
          <cell r="N323">
            <v>50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T323">
            <v>62100</v>
          </cell>
          <cell r="U323">
            <v>62100</v>
          </cell>
          <cell r="W323">
            <v>7969307.3890940212</v>
          </cell>
          <cell r="X323">
            <v>0</v>
          </cell>
          <cell r="Y323">
            <v>0</v>
          </cell>
          <cell r="Z323">
            <v>124200</v>
          </cell>
          <cell r="AB323">
            <v>1207004.3713519075</v>
          </cell>
          <cell r="AC323">
            <v>0</v>
          </cell>
          <cell r="AD323">
            <v>0</v>
          </cell>
          <cell r="AE323">
            <v>62100</v>
          </cell>
          <cell r="AH323">
            <v>90</v>
          </cell>
          <cell r="AI323">
            <v>84</v>
          </cell>
          <cell r="AJ323">
            <v>1</v>
          </cell>
          <cell r="AK323">
            <v>6.8971678362966136E-3</v>
          </cell>
          <cell r="AL323">
            <v>0</v>
          </cell>
          <cell r="AM323">
            <v>0</v>
          </cell>
          <cell r="AN323">
            <v>5.4362910988331598E-3</v>
          </cell>
          <cell r="AO323">
            <v>1.1214748281918901E-2</v>
          </cell>
          <cell r="AP323">
            <v>1.733495053017866E-2</v>
          </cell>
          <cell r="AQ323">
            <v>2.3808530177972881E-2</v>
          </cell>
          <cell r="AR323">
            <v>3.064888376286181E-2</v>
          </cell>
          <cell r="AS323">
            <v>3.7882499648220262E-2</v>
          </cell>
          <cell r="AT323">
            <v>4.5538899366251551E-2</v>
          </cell>
          <cell r="AU323">
            <v>5.3672829262463397E-2</v>
          </cell>
          <cell r="AW323">
            <v>0</v>
          </cell>
          <cell r="AY323">
            <v>0</v>
          </cell>
          <cell r="AZ323">
            <v>0</v>
          </cell>
          <cell r="BA323">
            <v>1</v>
          </cell>
          <cell r="BC323">
            <v>0.21293020072857624</v>
          </cell>
          <cell r="BD323">
            <v>0.26616275091072028</v>
          </cell>
          <cell r="BE323">
            <v>0.40983960090272165</v>
          </cell>
          <cell r="BF323">
            <v>0.62174092171740702</v>
          </cell>
          <cell r="BG323">
            <v>0.90778274244511759</v>
          </cell>
          <cell r="BH323">
            <v>1.2747639030887401</v>
          </cell>
          <cell r="BI323">
            <v>1.7302422967208222</v>
          </cell>
          <cell r="BJ323">
            <v>2.2838364231104284</v>
          </cell>
          <cell r="BL323">
            <v>223083.68304052952</v>
          </cell>
        </row>
        <row r="324">
          <cell r="A324">
            <v>10001304</v>
          </cell>
          <cell r="B324" t="str">
            <v/>
          </cell>
          <cell r="C324" t="str">
            <v>LSPL</v>
          </cell>
          <cell r="D324" t="str">
            <v>RPH</v>
          </cell>
          <cell r="E324">
            <v>53</v>
          </cell>
          <cell r="F324" t="str">
            <v>F</v>
          </cell>
          <cell r="G324">
            <v>35181</v>
          </cell>
          <cell r="H324">
            <v>1</v>
          </cell>
          <cell r="I324">
            <v>70000000</v>
          </cell>
          <cell r="J324">
            <v>1701000</v>
          </cell>
          <cell r="K324">
            <v>1701000</v>
          </cell>
          <cell r="L324">
            <v>1701000</v>
          </cell>
          <cell r="M324">
            <v>20</v>
          </cell>
          <cell r="N324">
            <v>32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T324">
            <v>0</v>
          </cell>
          <cell r="U324">
            <v>0</v>
          </cell>
          <cell r="W324">
            <v>8114399.433725168</v>
          </cell>
          <cell r="X324">
            <v>0</v>
          </cell>
          <cell r="Y324">
            <v>0</v>
          </cell>
          <cell r="Z324">
            <v>0</v>
          </cell>
          <cell r="AB324">
            <v>1372193.9455396153</v>
          </cell>
          <cell r="AC324">
            <v>0</v>
          </cell>
          <cell r="AD324">
            <v>0</v>
          </cell>
          <cell r="AE324">
            <v>0</v>
          </cell>
          <cell r="AH324">
            <v>90</v>
          </cell>
          <cell r="AI324">
            <v>84</v>
          </cell>
          <cell r="AJ324">
            <v>1</v>
          </cell>
          <cell r="AK324">
            <v>1.9602770650565933E-2</v>
          </cell>
          <cell r="AL324">
            <v>0</v>
          </cell>
          <cell r="AM324">
            <v>0</v>
          </cell>
          <cell r="AN324">
            <v>1.3596627441789522E-2</v>
          </cell>
          <cell r="AO324">
            <v>2.7993817807879101E-2</v>
          </cell>
          <cell r="AP324">
            <v>4.3298670494036517E-2</v>
          </cell>
          <cell r="AQ324">
            <v>5.9640914019375629E-2</v>
          </cell>
          <cell r="AR324">
            <v>7.7142426265018021E-2</v>
          </cell>
          <cell r="AS324">
            <v>9.5886746415057678E-2</v>
          </cell>
          <cell r="AT324">
            <v>0.11591999191035954</v>
          </cell>
          <cell r="AU324">
            <v>0.13726257081222368</v>
          </cell>
          <cell r="AW324">
            <v>0</v>
          </cell>
          <cell r="AY324">
            <v>0</v>
          </cell>
          <cell r="AZ324">
            <v>0</v>
          </cell>
          <cell r="BA324">
            <v>0</v>
          </cell>
          <cell r="BC324">
            <v>0.24807009158873208</v>
          </cell>
          <cell r="BD324">
            <v>0.36211676897925171</v>
          </cell>
          <cell r="BE324">
            <v>0.75395018626632027</v>
          </cell>
          <cell r="BF324">
            <v>1.3310702767440727</v>
          </cell>
          <cell r="BG324">
            <v>2.1153268178634872</v>
          </cell>
          <cell r="BH324">
            <v>3.1298014157973042</v>
          </cell>
          <cell r="BI324">
            <v>4.3978210663611268</v>
          </cell>
          <cell r="BJ324">
            <v>5.9425813081158498</v>
          </cell>
          <cell r="BL324">
            <v>219086.0991058113</v>
          </cell>
        </row>
        <row r="325">
          <cell r="A325">
            <v>10001313</v>
          </cell>
          <cell r="B325" t="str">
            <v/>
          </cell>
          <cell r="C325" t="str">
            <v>LSPL</v>
          </cell>
          <cell r="D325" t="str">
            <v>RPH</v>
          </cell>
          <cell r="E325">
            <v>39</v>
          </cell>
          <cell r="F325" t="str">
            <v>M</v>
          </cell>
          <cell r="G325">
            <v>35180</v>
          </cell>
          <cell r="H325">
            <v>1</v>
          </cell>
          <cell r="I325">
            <v>160000000</v>
          </cell>
          <cell r="J325">
            <v>2096000</v>
          </cell>
          <cell r="K325">
            <v>2096000</v>
          </cell>
          <cell r="L325">
            <v>2096000</v>
          </cell>
          <cell r="M325">
            <v>20</v>
          </cell>
          <cell r="N325">
            <v>46</v>
          </cell>
          <cell r="O325">
            <v>160000000</v>
          </cell>
          <cell r="P325">
            <v>400000</v>
          </cell>
          <cell r="Q325">
            <v>0</v>
          </cell>
          <cell r="R325">
            <v>0</v>
          </cell>
          <cell r="T325">
            <v>100600</v>
          </cell>
          <cell r="U325">
            <v>100600</v>
          </cell>
          <cell r="W325">
            <v>10948215.112573287</v>
          </cell>
          <cell r="X325">
            <v>400000</v>
          </cell>
          <cell r="Y325">
            <v>0</v>
          </cell>
          <cell r="Z325">
            <v>201200</v>
          </cell>
          <cell r="AB325">
            <v>1652265.8643342925</v>
          </cell>
          <cell r="AC325">
            <v>400000</v>
          </cell>
          <cell r="AD325">
            <v>0</v>
          </cell>
          <cell r="AE325">
            <v>100600</v>
          </cell>
          <cell r="AH325">
            <v>90</v>
          </cell>
          <cell r="AI325">
            <v>84</v>
          </cell>
          <cell r="AJ325">
            <v>1</v>
          </cell>
          <cell r="AK325">
            <v>1.0326661652089328E-2</v>
          </cell>
          <cell r="AL325">
            <v>0</v>
          </cell>
          <cell r="AM325">
            <v>0</v>
          </cell>
          <cell r="AN325">
            <v>8.1316759801147165E-3</v>
          </cell>
          <cell r="AO325">
            <v>1.6756896605493288E-2</v>
          </cell>
          <cell r="AP325">
            <v>2.5907194191214344E-2</v>
          </cell>
          <cell r="AQ325">
            <v>3.5608404740304453E-2</v>
          </cell>
          <cell r="AR325">
            <v>4.5899804513432937E-2</v>
          </cell>
          <cell r="AS325">
            <v>5.6825633366241621E-2</v>
          </cell>
          <cell r="AT325">
            <v>6.8426344453583046E-2</v>
          </cell>
          <cell r="AU325">
            <v>8.0757364882985752E-2</v>
          </cell>
          <cell r="AW325">
            <v>0</v>
          </cell>
          <cell r="AY325">
            <v>1</v>
          </cell>
          <cell r="AZ325">
            <v>0</v>
          </cell>
          <cell r="BA325">
            <v>1</v>
          </cell>
          <cell r="BC325">
            <v>0.29046883359110875</v>
          </cell>
          <cell r="BD325">
            <v>0.36308604198888594</v>
          </cell>
          <cell r="BE325">
            <v>0.58358118450562246</v>
          </cell>
          <cell r="BF325">
            <v>0.90968294226468926</v>
          </cell>
          <cell r="BG325">
            <v>1.3517032690449255</v>
          </cell>
          <cell r="BH325">
            <v>1.9211159778883737</v>
          </cell>
          <cell r="BI325">
            <v>2.6302834282505394</v>
          </cell>
          <cell r="BJ325">
            <v>3.4933999164437664</v>
          </cell>
          <cell r="BL325">
            <v>307378.55646213976</v>
          </cell>
        </row>
        <row r="326">
          <cell r="A326">
            <v>10001315</v>
          </cell>
          <cell r="B326" t="str">
            <v/>
          </cell>
          <cell r="C326" t="str">
            <v>LSPL</v>
          </cell>
          <cell r="D326" t="str">
            <v>RPH</v>
          </cell>
          <cell r="E326">
            <v>26</v>
          </cell>
          <cell r="F326" t="str">
            <v>M</v>
          </cell>
          <cell r="G326">
            <v>35193</v>
          </cell>
          <cell r="H326">
            <v>1</v>
          </cell>
          <cell r="I326">
            <v>155000000</v>
          </cell>
          <cell r="J326">
            <v>1023000</v>
          </cell>
          <cell r="K326">
            <v>1023000</v>
          </cell>
          <cell r="L326">
            <v>1023000</v>
          </cell>
          <cell r="M326">
            <v>20</v>
          </cell>
          <cell r="N326">
            <v>59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T326">
            <v>29700</v>
          </cell>
          <cell r="U326">
            <v>29700</v>
          </cell>
          <cell r="W326">
            <v>4876943.9485997707</v>
          </cell>
          <cell r="X326">
            <v>0</v>
          </cell>
          <cell r="Y326">
            <v>0</v>
          </cell>
          <cell r="Z326">
            <v>59400</v>
          </cell>
          <cell r="AB326">
            <v>734440.10773828719</v>
          </cell>
          <cell r="AC326">
            <v>0</v>
          </cell>
          <cell r="AD326">
            <v>0</v>
          </cell>
          <cell r="AE326">
            <v>29700</v>
          </cell>
          <cell r="AH326">
            <v>89</v>
          </cell>
          <cell r="AI326">
            <v>84</v>
          </cell>
          <cell r="AJ326">
            <v>1</v>
          </cell>
          <cell r="AK326">
            <v>4.7383232757308852E-3</v>
          </cell>
          <cell r="AL326">
            <v>0</v>
          </cell>
          <cell r="AM326">
            <v>0</v>
          </cell>
          <cell r="AN326">
            <v>3.4606901507043542E-3</v>
          </cell>
          <cell r="AO326">
            <v>7.2492483570213567E-3</v>
          </cell>
          <cell r="AP326">
            <v>1.1366002604179068E-2</v>
          </cell>
          <cell r="AQ326">
            <v>1.5831420194442072E-2</v>
          </cell>
          <cell r="AR326">
            <v>2.0658205151761685E-2</v>
          </cell>
          <cell r="AS326">
            <v>2.5860575261706258E-2</v>
          </cell>
          <cell r="AT326">
            <v>3.1464154507095297E-2</v>
          </cell>
          <cell r="AU326">
            <v>3.7487550261316269E-2</v>
          </cell>
          <cell r="AW326">
            <v>0</v>
          </cell>
          <cell r="AY326">
            <v>0</v>
          </cell>
          <cell r="AZ326">
            <v>0</v>
          </cell>
          <cell r="BA326">
            <v>1</v>
          </cell>
          <cell r="BC326">
            <v>0.16724685847977888</v>
          </cell>
          <cell r="BD326">
            <v>0.20905857309972359</v>
          </cell>
          <cell r="BE326">
            <v>0.30222686806896965</v>
          </cell>
          <cell r="BF326">
            <v>0.44309694421085855</v>
          </cell>
          <cell r="BG326">
            <v>0.6373940836473273</v>
          </cell>
          <cell r="BH326">
            <v>0.89120598911629245</v>
          </cell>
          <cell r="BI326">
            <v>1.2115107640960969</v>
          </cell>
          <cell r="BJ326">
            <v>1.6055017170998658</v>
          </cell>
          <cell r="BL326">
            <v>138136.92831302533</v>
          </cell>
        </row>
        <row r="327">
          <cell r="A327">
            <v>10001323</v>
          </cell>
          <cell r="B327" t="str">
            <v/>
          </cell>
          <cell r="C327" t="str">
            <v>LSPL</v>
          </cell>
          <cell r="D327" t="str">
            <v>RPH</v>
          </cell>
          <cell r="E327">
            <v>37</v>
          </cell>
          <cell r="F327" t="str">
            <v>M</v>
          </cell>
          <cell r="G327">
            <v>35175</v>
          </cell>
          <cell r="H327">
            <v>1</v>
          </cell>
          <cell r="I327">
            <v>100000000</v>
          </cell>
          <cell r="J327">
            <v>1170000</v>
          </cell>
          <cell r="K327">
            <v>1170000</v>
          </cell>
          <cell r="L327">
            <v>1170000</v>
          </cell>
          <cell r="M327">
            <v>20</v>
          </cell>
          <cell r="N327">
            <v>48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T327">
            <v>51500</v>
          </cell>
          <cell r="U327">
            <v>51500</v>
          </cell>
          <cell r="W327">
            <v>6145333.1424865723</v>
          </cell>
          <cell r="X327">
            <v>0</v>
          </cell>
          <cell r="Y327">
            <v>0</v>
          </cell>
          <cell r="Z327">
            <v>103000</v>
          </cell>
          <cell r="AB327">
            <v>911776.10147968738</v>
          </cell>
          <cell r="AC327">
            <v>0</v>
          </cell>
          <cell r="AD327">
            <v>0</v>
          </cell>
          <cell r="AE327">
            <v>51500</v>
          </cell>
          <cell r="AH327">
            <v>90</v>
          </cell>
          <cell r="AI327">
            <v>84</v>
          </cell>
          <cell r="AJ327">
            <v>1</v>
          </cell>
          <cell r="AK327">
            <v>9.1177610147968741E-3</v>
          </cell>
          <cell r="AL327">
            <v>0</v>
          </cell>
          <cell r="AM327">
            <v>0</v>
          </cell>
          <cell r="AN327">
            <v>7.2778641821367313E-3</v>
          </cell>
          <cell r="AO327">
            <v>1.5014774310157034E-2</v>
          </cell>
          <cell r="AP327">
            <v>2.3227630540402153E-2</v>
          </cell>
          <cell r="AQ327">
            <v>3.1945731195856822E-2</v>
          </cell>
          <cell r="AR327">
            <v>4.1202066175122259E-2</v>
          </cell>
          <cell r="AS327">
            <v>5.1024239321477427E-2</v>
          </cell>
          <cell r="AT327">
            <v>6.1453331424865726E-2</v>
          </cell>
          <cell r="AU327">
            <v>7.2535584071892215E-2</v>
          </cell>
          <cell r="AW327">
            <v>0</v>
          </cell>
          <cell r="AY327">
            <v>0</v>
          </cell>
          <cell r="AZ327">
            <v>0</v>
          </cell>
          <cell r="BA327">
            <v>1</v>
          </cell>
          <cell r="BC327">
            <v>0.27031789940364032</v>
          </cell>
          <cell r="BD327">
            <v>0.33789737425455041</v>
          </cell>
          <cell r="BE327">
            <v>0.53432772104243442</v>
          </cell>
          <cell r="BF327">
            <v>0.82515877544121263</v>
          </cell>
          <cell r="BG327">
            <v>1.2196517086985799</v>
          </cell>
          <cell r="BH327">
            <v>1.7276236804825027</v>
          </cell>
          <cell r="BI327">
            <v>2.3602391760373296</v>
          </cell>
          <cell r="BJ327">
            <v>3.1299480473973644</v>
          </cell>
          <cell r="BL327">
            <v>172762.36804825027</v>
          </cell>
        </row>
        <row r="328">
          <cell r="A328">
            <v>10001333</v>
          </cell>
          <cell r="B328" t="str">
            <v/>
          </cell>
          <cell r="C328" t="str">
            <v>LSPL</v>
          </cell>
          <cell r="D328" t="str">
            <v>RPH</v>
          </cell>
          <cell r="E328">
            <v>43</v>
          </cell>
          <cell r="F328" t="str">
            <v>M</v>
          </cell>
          <cell r="G328">
            <v>35187</v>
          </cell>
          <cell r="H328">
            <v>1</v>
          </cell>
          <cell r="I328">
            <v>100000000</v>
          </cell>
          <cell r="J328">
            <v>1900000</v>
          </cell>
          <cell r="K328">
            <v>1900000</v>
          </cell>
          <cell r="L328">
            <v>1900000</v>
          </cell>
          <cell r="M328">
            <v>20</v>
          </cell>
          <cell r="N328">
            <v>42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T328">
            <v>0</v>
          </cell>
          <cell r="U328">
            <v>0</v>
          </cell>
          <cell r="W328">
            <v>8466554.4595574327</v>
          </cell>
          <cell r="X328">
            <v>0</v>
          </cell>
          <cell r="Y328">
            <v>0</v>
          </cell>
          <cell r="Z328">
            <v>0</v>
          </cell>
          <cell r="AB328">
            <v>1321555.7430617556</v>
          </cell>
          <cell r="AC328">
            <v>0</v>
          </cell>
          <cell r="AD328">
            <v>0</v>
          </cell>
          <cell r="AE328">
            <v>0</v>
          </cell>
          <cell r="AH328">
            <v>89</v>
          </cell>
          <cell r="AI328">
            <v>84</v>
          </cell>
          <cell r="AJ328">
            <v>1</v>
          </cell>
          <cell r="AK328">
            <v>1.3215557430617557E-2</v>
          </cell>
          <cell r="AL328">
            <v>0</v>
          </cell>
          <cell r="AM328">
            <v>0</v>
          </cell>
          <cell r="AN328">
            <v>1.0079002841791779E-2</v>
          </cell>
          <cell r="AO328">
            <v>2.0759262006215681E-2</v>
          </cell>
          <cell r="AP328">
            <v>3.2076786332168913E-2</v>
          </cell>
          <cell r="AQ328">
            <v>4.4082430542336307E-2</v>
          </cell>
          <cell r="AR328">
            <v>5.6824046447813054E-2</v>
          </cell>
          <cell r="AS328">
            <v>7.0337548792690122E-2</v>
          </cell>
          <cell r="AT328">
            <v>8.4665544595574335E-2</v>
          </cell>
          <cell r="AU328">
            <v>9.9822043399688795E-2</v>
          </cell>
          <cell r="AW328">
            <v>0</v>
          </cell>
          <cell r="AY328">
            <v>0</v>
          </cell>
          <cell r="AZ328">
            <v>0</v>
          </cell>
          <cell r="BA328">
            <v>0</v>
          </cell>
          <cell r="BC328">
            <v>0.33085010048646413</v>
          </cell>
          <cell r="BD328">
            <v>0.4135626256080801</v>
          </cell>
          <cell r="BE328">
            <v>0.69053190351495242</v>
          </cell>
          <cell r="BF328">
            <v>1.1004610550044966</v>
          </cell>
          <cell r="BG328">
            <v>1.6564414364531541</v>
          </cell>
          <cell r="BH328">
            <v>2.3722216948699755</v>
          </cell>
          <cell r="BI328">
            <v>3.2628181639553118</v>
          </cell>
          <cell r="BJ328">
            <v>4.3427834063306854</v>
          </cell>
          <cell r="BL328">
            <v>237222.16948699753</v>
          </cell>
        </row>
        <row r="329">
          <cell r="A329">
            <v>10001348</v>
          </cell>
          <cell r="B329" t="str">
            <v/>
          </cell>
          <cell r="C329" t="str">
            <v>LSPL</v>
          </cell>
          <cell r="D329" t="str">
            <v>RPH</v>
          </cell>
          <cell r="E329">
            <v>33</v>
          </cell>
          <cell r="F329" t="str">
            <v>F</v>
          </cell>
          <cell r="G329">
            <v>35183</v>
          </cell>
          <cell r="H329">
            <v>1</v>
          </cell>
          <cell r="I329">
            <v>122000000</v>
          </cell>
          <cell r="J329">
            <v>1000400</v>
          </cell>
          <cell r="K329">
            <v>1000400</v>
          </cell>
          <cell r="L329">
            <v>1000400</v>
          </cell>
          <cell r="M329">
            <v>20</v>
          </cell>
          <cell r="N329">
            <v>52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T329">
            <v>36000</v>
          </cell>
          <cell r="U329">
            <v>36000</v>
          </cell>
          <cell r="W329">
            <v>5010018.8392214552</v>
          </cell>
          <cell r="X329">
            <v>0</v>
          </cell>
          <cell r="Y329">
            <v>0</v>
          </cell>
          <cell r="Z329">
            <v>72000</v>
          </cell>
          <cell r="AB329">
            <v>746079.84274305473</v>
          </cell>
          <cell r="AC329">
            <v>0</v>
          </cell>
          <cell r="AD329">
            <v>0</v>
          </cell>
          <cell r="AE329">
            <v>36000</v>
          </cell>
          <cell r="AH329">
            <v>90</v>
          </cell>
          <cell r="AI329">
            <v>84</v>
          </cell>
          <cell r="AJ329">
            <v>1</v>
          </cell>
          <cell r="AK329">
            <v>6.1154085470742194E-3</v>
          </cell>
          <cell r="AL329">
            <v>0</v>
          </cell>
          <cell r="AM329">
            <v>1.3877787807814457E-17</v>
          </cell>
          <cell r="AN329">
            <v>4.8232255183581624E-3</v>
          </cell>
          <cell r="AO329">
            <v>9.9876369615811075E-3</v>
          </cell>
          <cell r="AP329">
            <v>1.5491743824258483E-2</v>
          </cell>
          <cell r="AQ329">
            <v>2.1345909765363769E-2</v>
          </cell>
          <cell r="AR329">
            <v>2.7550822700762916E-2</v>
          </cell>
          <cell r="AS329">
            <v>3.4119222144824851E-2</v>
          </cell>
          <cell r="AT329">
            <v>4.1065728190339795E-2</v>
          </cell>
          <cell r="AU329">
            <v>4.8418061162206837E-2</v>
          </cell>
          <cell r="AW329">
            <v>0</v>
          </cell>
          <cell r="AY329">
            <v>0</v>
          </cell>
          <cell r="AZ329">
            <v>0</v>
          </cell>
          <cell r="BA329">
            <v>1</v>
          </cell>
          <cell r="BC329">
            <v>0.19523486594934092</v>
          </cell>
          <cell r="BD329">
            <v>0.24404358243667615</v>
          </cell>
          <cell r="BE329">
            <v>0.37245234616374923</v>
          </cell>
          <cell r="BF329">
            <v>0.56286167155079458</v>
          </cell>
          <cell r="BG329">
            <v>0.82065094405716532</v>
          </cell>
          <cell r="BH329">
            <v>1.1517571950877796</v>
          </cell>
          <cell r="BI329">
            <v>1.5625127968038743</v>
          </cell>
          <cell r="BJ329">
            <v>2.0603116617220563</v>
          </cell>
          <cell r="BL329">
            <v>140514.37780070913</v>
          </cell>
        </row>
        <row r="330">
          <cell r="A330">
            <v>10001349</v>
          </cell>
          <cell r="B330" t="str">
            <v/>
          </cell>
          <cell r="C330" t="str">
            <v>LSPL</v>
          </cell>
          <cell r="D330" t="str">
            <v>RPH</v>
          </cell>
          <cell r="E330">
            <v>40</v>
          </cell>
          <cell r="F330" t="str">
            <v>M</v>
          </cell>
          <cell r="G330">
            <v>35200</v>
          </cell>
          <cell r="H330">
            <v>1</v>
          </cell>
          <cell r="I330">
            <v>71945000</v>
          </cell>
          <cell r="J330">
            <v>1000000</v>
          </cell>
          <cell r="K330">
            <v>1000000</v>
          </cell>
          <cell r="L330">
            <v>1000000</v>
          </cell>
          <cell r="M330">
            <v>20</v>
          </cell>
          <cell r="N330">
            <v>45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T330">
            <v>52000</v>
          </cell>
          <cell r="U330">
            <v>52000</v>
          </cell>
          <cell r="W330">
            <v>5193089.8516982049</v>
          </cell>
          <cell r="X330">
            <v>0</v>
          </cell>
          <cell r="Y330">
            <v>0</v>
          </cell>
          <cell r="Z330">
            <v>104000</v>
          </cell>
          <cell r="AB330">
            <v>790437.24012140417</v>
          </cell>
          <cell r="AC330">
            <v>0</v>
          </cell>
          <cell r="AD330">
            <v>0</v>
          </cell>
          <cell r="AE330">
            <v>52000</v>
          </cell>
          <cell r="AH330">
            <v>89</v>
          </cell>
          <cell r="AI330">
            <v>84</v>
          </cell>
          <cell r="AJ330">
            <v>1</v>
          </cell>
          <cell r="AK330">
            <v>1.0986687610277353E-2</v>
          </cell>
          <cell r="AL330">
            <v>0</v>
          </cell>
          <cell r="AM330">
            <v>0</v>
          </cell>
          <cell r="AN330">
            <v>8.5848496811117142E-3</v>
          </cell>
          <cell r="AO330">
            <v>1.7688600354930875E-2</v>
          </cell>
          <cell r="AP330">
            <v>2.733622888448145E-2</v>
          </cell>
          <cell r="AQ330">
            <v>3.7566143024303333E-2</v>
          </cell>
          <cell r="AR330">
            <v>4.8421619652649947E-2</v>
          </cell>
          <cell r="AS330">
            <v>5.9941957740220625E-2</v>
          </cell>
          <cell r="AT330">
            <v>7.2181386499384326E-2</v>
          </cell>
          <cell r="AU330">
            <v>8.5191795800459935E-2</v>
          </cell>
          <cell r="AW330">
            <v>0</v>
          </cell>
          <cell r="AY330">
            <v>0</v>
          </cell>
          <cell r="AZ330">
            <v>0</v>
          </cell>
          <cell r="BA330">
            <v>1</v>
          </cell>
          <cell r="BC330">
            <v>0.30060705813817784</v>
          </cell>
          <cell r="BD330">
            <v>0.37575882267272226</v>
          </cell>
          <cell r="BE330">
            <v>0.60910295667566627</v>
          </cell>
          <cell r="BF330">
            <v>0.9542716893555272</v>
          </cell>
          <cell r="BG330">
            <v>1.4222839923014075</v>
          </cell>
          <cell r="BH330">
            <v>2.0250287378862044</v>
          </cell>
          <cell r="BI330">
            <v>2.7761060256390464</v>
          </cell>
          <cell r="BJ330">
            <v>3.6903219714712741</v>
          </cell>
          <cell r="BL330">
            <v>145690.69254722298</v>
          </cell>
        </row>
        <row r="331">
          <cell r="A331">
            <v>10001355</v>
          </cell>
          <cell r="B331" t="str">
            <v/>
          </cell>
          <cell r="C331" t="str">
            <v>LSPL</v>
          </cell>
          <cell r="D331" t="str">
            <v>RPH</v>
          </cell>
          <cell r="E331">
            <v>50</v>
          </cell>
          <cell r="F331" t="str">
            <v>F</v>
          </cell>
          <cell r="G331">
            <v>35223</v>
          </cell>
          <cell r="H331">
            <v>2</v>
          </cell>
          <cell r="I331">
            <v>45000000</v>
          </cell>
          <cell r="J331">
            <v>549900</v>
          </cell>
          <cell r="K331">
            <v>549900</v>
          </cell>
          <cell r="L331">
            <v>1099800</v>
          </cell>
          <cell r="M331">
            <v>20</v>
          </cell>
          <cell r="N331">
            <v>35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T331">
            <v>0</v>
          </cell>
          <cell r="U331">
            <v>0</v>
          </cell>
          <cell r="W331">
            <v>4036620.2819115627</v>
          </cell>
          <cell r="X331">
            <v>0</v>
          </cell>
          <cell r="Y331">
            <v>0</v>
          </cell>
          <cell r="Z331">
            <v>0</v>
          </cell>
          <cell r="AB331">
            <v>741845.65864814993</v>
          </cell>
          <cell r="AC331">
            <v>0</v>
          </cell>
          <cell r="AD331">
            <v>0</v>
          </cell>
          <cell r="AE331">
            <v>0</v>
          </cell>
          <cell r="AH331">
            <v>88</v>
          </cell>
          <cell r="AI331">
            <v>84</v>
          </cell>
          <cell r="AJ331">
            <v>1</v>
          </cell>
          <cell r="AK331">
            <v>1.6485459081069999E-2</v>
          </cell>
          <cell r="AL331">
            <v>0</v>
          </cell>
          <cell r="AM331">
            <v>0</v>
          </cell>
          <cell r="AN331">
            <v>1.1718268446288954E-2</v>
          </cell>
          <cell r="AO331">
            <v>2.4098123026384838E-2</v>
          </cell>
          <cell r="AP331">
            <v>3.7171834244981133E-2</v>
          </cell>
          <cell r="AQ331">
            <v>5.1010787201576258E-2</v>
          </cell>
          <cell r="AR331">
            <v>6.5695186018628393E-2</v>
          </cell>
          <cell r="AS331">
            <v>8.1336491487312451E-2</v>
          </cell>
          <cell r="AT331">
            <v>9.8068854375423675E-2</v>
          </cell>
          <cell r="AU331">
            <v>0.11601998158331926</v>
          </cell>
          <cell r="AW331">
            <v>0</v>
          </cell>
          <cell r="AY331">
            <v>0</v>
          </cell>
          <cell r="AZ331">
            <v>0</v>
          </cell>
          <cell r="BA331">
            <v>0</v>
          </cell>
          <cell r="BC331">
            <v>0.21006761544212607</v>
          </cell>
          <cell r="BD331">
            <v>0.26258451930265758</v>
          </cell>
          <cell r="BE331">
            <v>0.58377967687245247</v>
          </cell>
          <cell r="BF331">
            <v>1.0580848899026551</v>
          </cell>
          <cell r="BG331">
            <v>1.7010621519552998</v>
          </cell>
          <cell r="BH331">
            <v>2.53155837374397</v>
          </cell>
          <cell r="BI331">
            <v>3.5722024772070897</v>
          </cell>
          <cell r="BJ331">
            <v>4.8484942588608879</v>
          </cell>
          <cell r="BL331">
            <v>113920.12681847865</v>
          </cell>
        </row>
        <row r="332">
          <cell r="A332">
            <v>10001364</v>
          </cell>
          <cell r="B332" t="str">
            <v/>
          </cell>
          <cell r="C332" t="str">
            <v>LSPL</v>
          </cell>
          <cell r="D332" t="str">
            <v>RPH</v>
          </cell>
          <cell r="E332">
            <v>26</v>
          </cell>
          <cell r="F332" t="str">
            <v>F</v>
          </cell>
          <cell r="G332">
            <v>35188</v>
          </cell>
          <cell r="H332">
            <v>2</v>
          </cell>
          <cell r="I332">
            <v>180959000</v>
          </cell>
          <cell r="J332">
            <v>545800</v>
          </cell>
          <cell r="K332">
            <v>545800</v>
          </cell>
          <cell r="L332">
            <v>1091600</v>
          </cell>
          <cell r="M332">
            <v>20</v>
          </cell>
          <cell r="N332">
            <v>59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T332">
            <v>15800</v>
          </cell>
          <cell r="U332">
            <v>31600</v>
          </cell>
          <cell r="W332">
            <v>4443533.0789323002</v>
          </cell>
          <cell r="X332">
            <v>0</v>
          </cell>
          <cell r="Y332">
            <v>0</v>
          </cell>
          <cell r="Z332">
            <v>63200</v>
          </cell>
          <cell r="AB332">
            <v>742112.25028261042</v>
          </cell>
          <cell r="AC332">
            <v>0</v>
          </cell>
          <cell r="AD332">
            <v>0</v>
          </cell>
          <cell r="AE332">
            <v>31600</v>
          </cell>
          <cell r="AH332">
            <v>89</v>
          </cell>
          <cell r="AI332">
            <v>84</v>
          </cell>
          <cell r="AJ332">
            <v>1</v>
          </cell>
          <cell r="AK332">
            <v>4.1009966361585243E-3</v>
          </cell>
          <cell r="AL332">
            <v>0</v>
          </cell>
          <cell r="AM332">
            <v>0</v>
          </cell>
          <cell r="AN332">
            <v>3.0484333994403312E-3</v>
          </cell>
          <cell r="AO332">
            <v>6.3301967884753924E-3</v>
          </cell>
          <cell r="AP332">
            <v>9.8669789068315111E-3</v>
          </cell>
          <cell r="AQ332">
            <v>1.3671132210657133E-2</v>
          </cell>
          <cell r="AR332">
            <v>1.7767634990969387E-2</v>
          </cell>
          <cell r="AS332">
            <v>2.2183810204720454E-2</v>
          </cell>
          <cell r="AT332">
            <v>2.6927127399182085E-2</v>
          </cell>
          <cell r="AU332">
            <v>3.202845588459162E-2</v>
          </cell>
          <cell r="AW332">
            <v>0</v>
          </cell>
          <cell r="AY332">
            <v>0</v>
          </cell>
          <cell r="AZ332">
            <v>0</v>
          </cell>
          <cell r="BA332">
            <v>1</v>
          </cell>
          <cell r="BC332">
            <v>0.14474460350579579</v>
          </cell>
          <cell r="BD332">
            <v>0.18093075438224474</v>
          </cell>
          <cell r="BE332">
            <v>0.26075927470202337</v>
          </cell>
          <cell r="BF332">
            <v>0.38042175803172823</v>
          </cell>
          <cell r="BG332">
            <v>0.54482197029764234</v>
          </cell>
          <cell r="BH332">
            <v>0.75952084880341963</v>
          </cell>
          <cell r="BI332">
            <v>1.0297304836757062</v>
          </cell>
          <cell r="BJ332">
            <v>1.3621120341322341</v>
          </cell>
          <cell r="BL332">
            <v>137442.13327861801</v>
          </cell>
        </row>
        <row r="333">
          <cell r="A333">
            <v>10001371</v>
          </cell>
          <cell r="B333" t="str">
            <v/>
          </cell>
          <cell r="C333" t="str">
            <v>LSPL</v>
          </cell>
          <cell r="D333" t="str">
            <v>RPH</v>
          </cell>
          <cell r="E333">
            <v>53</v>
          </cell>
          <cell r="F333" t="str">
            <v>F</v>
          </cell>
          <cell r="G333">
            <v>35198</v>
          </cell>
          <cell r="H333">
            <v>1</v>
          </cell>
          <cell r="I333">
            <v>70000000</v>
          </cell>
          <cell r="J333">
            <v>1701000</v>
          </cell>
          <cell r="K333">
            <v>1701000</v>
          </cell>
          <cell r="L333">
            <v>1701000</v>
          </cell>
          <cell r="M333">
            <v>20</v>
          </cell>
          <cell r="N333">
            <v>32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T333">
            <v>0</v>
          </cell>
          <cell r="U333">
            <v>0</v>
          </cell>
          <cell r="W333">
            <v>8114399.433725168</v>
          </cell>
          <cell r="X333">
            <v>0</v>
          </cell>
          <cell r="Y333">
            <v>0</v>
          </cell>
          <cell r="Z333">
            <v>0</v>
          </cell>
          <cell r="AB333">
            <v>1372193.9455396153</v>
          </cell>
          <cell r="AC333">
            <v>0</v>
          </cell>
          <cell r="AD333">
            <v>0</v>
          </cell>
          <cell r="AE333">
            <v>0</v>
          </cell>
          <cell r="AH333">
            <v>89</v>
          </cell>
          <cell r="AI333">
            <v>84</v>
          </cell>
          <cell r="AJ333">
            <v>1</v>
          </cell>
          <cell r="AK333">
            <v>1.9602770650565933E-2</v>
          </cell>
          <cell r="AL333">
            <v>0</v>
          </cell>
          <cell r="AM333">
            <v>0</v>
          </cell>
          <cell r="AN333">
            <v>1.3596627441789522E-2</v>
          </cell>
          <cell r="AO333">
            <v>2.7993817807879101E-2</v>
          </cell>
          <cell r="AP333">
            <v>4.3298670494036517E-2</v>
          </cell>
          <cell r="AQ333">
            <v>5.9640914019375629E-2</v>
          </cell>
          <cell r="AR333">
            <v>7.7142426265018021E-2</v>
          </cell>
          <cell r="AS333">
            <v>9.5886746415057678E-2</v>
          </cell>
          <cell r="AT333">
            <v>0.11591999191035954</v>
          </cell>
          <cell r="AU333">
            <v>0.13726257081222368</v>
          </cell>
          <cell r="AW333">
            <v>0</v>
          </cell>
          <cell r="AY333">
            <v>0</v>
          </cell>
          <cell r="AZ333">
            <v>0</v>
          </cell>
          <cell r="BA333">
            <v>0</v>
          </cell>
          <cell r="BC333">
            <v>0.24807009158873208</v>
          </cell>
          <cell r="BD333">
            <v>0.36211676897925171</v>
          </cell>
          <cell r="BE333">
            <v>0.75395018626632027</v>
          </cell>
          <cell r="BF333">
            <v>1.3310702767440727</v>
          </cell>
          <cell r="BG333">
            <v>2.1153268178634872</v>
          </cell>
          <cell r="BH333">
            <v>3.1298014157973042</v>
          </cell>
          <cell r="BI333">
            <v>4.3978210663611268</v>
          </cell>
          <cell r="BJ333">
            <v>5.9425813081158498</v>
          </cell>
          <cell r="BL333">
            <v>219086.0991058113</v>
          </cell>
        </row>
        <row r="334">
          <cell r="A334">
            <v>10001394</v>
          </cell>
          <cell r="B334" t="str">
            <v/>
          </cell>
          <cell r="C334" t="str">
            <v>LSPL</v>
          </cell>
          <cell r="D334" t="str">
            <v>RPH</v>
          </cell>
          <cell r="E334">
            <v>26</v>
          </cell>
          <cell r="F334" t="str">
            <v>F</v>
          </cell>
          <cell r="G334">
            <v>35213</v>
          </cell>
          <cell r="H334">
            <v>1</v>
          </cell>
          <cell r="I334">
            <v>175000000</v>
          </cell>
          <cell r="J334">
            <v>1015000</v>
          </cell>
          <cell r="K334">
            <v>1015000</v>
          </cell>
          <cell r="L334">
            <v>1015000</v>
          </cell>
          <cell r="M334">
            <v>20</v>
          </cell>
          <cell r="N334">
            <v>59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T334">
            <v>29400</v>
          </cell>
          <cell r="U334">
            <v>29400</v>
          </cell>
          <cell r="W334">
            <v>4712247.294856865</v>
          </cell>
          <cell r="X334">
            <v>0</v>
          </cell>
          <cell r="Y334">
            <v>0</v>
          </cell>
          <cell r="Z334">
            <v>58800</v>
          </cell>
          <cell r="AB334">
            <v>717674.41132774169</v>
          </cell>
          <cell r="AC334">
            <v>0</v>
          </cell>
          <cell r="AD334">
            <v>0</v>
          </cell>
          <cell r="AE334">
            <v>29400</v>
          </cell>
          <cell r="AH334">
            <v>89</v>
          </cell>
          <cell r="AI334">
            <v>84</v>
          </cell>
          <cell r="AJ334">
            <v>1</v>
          </cell>
          <cell r="AK334">
            <v>4.1009966361585243E-3</v>
          </cell>
          <cell r="AL334">
            <v>0</v>
          </cell>
          <cell r="AM334">
            <v>0</v>
          </cell>
          <cell r="AN334">
            <v>3.0484333994403312E-3</v>
          </cell>
          <cell r="AO334">
            <v>6.3301967884753924E-3</v>
          </cell>
          <cell r="AP334">
            <v>9.8669789068315111E-3</v>
          </cell>
          <cell r="AQ334">
            <v>1.3671132210657133E-2</v>
          </cell>
          <cell r="AR334">
            <v>1.7767634990969387E-2</v>
          </cell>
          <cell r="AS334">
            <v>2.2183810204720454E-2</v>
          </cell>
          <cell r="AT334">
            <v>2.6927127399182085E-2</v>
          </cell>
          <cell r="AU334">
            <v>3.202845588459162E-2</v>
          </cell>
          <cell r="AW334">
            <v>0</v>
          </cell>
          <cell r="AY334">
            <v>0</v>
          </cell>
          <cell r="AZ334">
            <v>0</v>
          </cell>
          <cell r="BA334">
            <v>1</v>
          </cell>
          <cell r="BC334">
            <v>0.14474460350579579</v>
          </cell>
          <cell r="BD334">
            <v>0.18093075438224474</v>
          </cell>
          <cell r="BE334">
            <v>0.26075927470202337</v>
          </cell>
          <cell r="BF334">
            <v>0.38042175803172823</v>
          </cell>
          <cell r="BG334">
            <v>0.54482197029764234</v>
          </cell>
          <cell r="BH334">
            <v>0.75952084880341963</v>
          </cell>
          <cell r="BI334">
            <v>1.0297304836757062</v>
          </cell>
          <cell r="BJ334">
            <v>1.3621120341322341</v>
          </cell>
          <cell r="BL334">
            <v>132916.14854059843</v>
          </cell>
        </row>
        <row r="335">
          <cell r="A335">
            <v>10001395</v>
          </cell>
          <cell r="B335" t="str">
            <v/>
          </cell>
          <cell r="C335" t="str">
            <v>LSPL</v>
          </cell>
          <cell r="D335" t="str">
            <v>RPH</v>
          </cell>
          <cell r="E335">
            <v>34</v>
          </cell>
          <cell r="F335" t="str">
            <v>F</v>
          </cell>
          <cell r="G335">
            <v>35271</v>
          </cell>
          <cell r="H335">
            <v>1</v>
          </cell>
          <cell r="I335">
            <v>133000000</v>
          </cell>
          <cell r="J335">
            <v>1143800</v>
          </cell>
          <cell r="K335">
            <v>1143800</v>
          </cell>
          <cell r="L335">
            <v>1143800</v>
          </cell>
          <cell r="M335">
            <v>20</v>
          </cell>
          <cell r="N335">
            <v>51</v>
          </cell>
          <cell r="O335">
            <v>133000000</v>
          </cell>
          <cell r="P335">
            <v>332500</v>
          </cell>
          <cell r="Q335">
            <v>0</v>
          </cell>
          <cell r="R335">
            <v>0</v>
          </cell>
          <cell r="T335">
            <v>42300</v>
          </cell>
          <cell r="U335">
            <v>42300</v>
          </cell>
          <cell r="W335">
            <v>5756211.8376430403</v>
          </cell>
          <cell r="X335">
            <v>332500</v>
          </cell>
          <cell r="Y335">
            <v>0</v>
          </cell>
          <cell r="Z335">
            <v>84600</v>
          </cell>
          <cell r="AB335">
            <v>863615.43893834576</v>
          </cell>
          <cell r="AC335">
            <v>332500</v>
          </cell>
          <cell r="AD335">
            <v>0</v>
          </cell>
          <cell r="AE335">
            <v>42300</v>
          </cell>
          <cell r="AH335">
            <v>87</v>
          </cell>
          <cell r="AI335">
            <v>84</v>
          </cell>
          <cell r="AJ335">
            <v>1</v>
          </cell>
          <cell r="AK335">
            <v>6.4933491649499684E-3</v>
          </cell>
          <cell r="AL335">
            <v>0</v>
          </cell>
          <cell r="AM335">
            <v>2.0816681711721685E-17</v>
          </cell>
          <cell r="AN335">
            <v>5.1327851848317271E-3</v>
          </cell>
          <cell r="AO335">
            <v>1.060167574860383E-2</v>
          </cell>
          <cell r="AP335">
            <v>1.6416580127380766E-2</v>
          </cell>
          <cell r="AQ335">
            <v>2.2577626825549688E-2</v>
          </cell>
          <cell r="AR335">
            <v>2.9096994611267461E-2</v>
          </cell>
          <cell r="AS335">
            <v>3.5988683791568582E-2</v>
          </cell>
          <cell r="AT335">
            <v>4.3279788252955191E-2</v>
          </cell>
          <cell r="AU335">
            <v>5.1000498493855101E-2</v>
          </cell>
          <cell r="AW335">
            <v>0</v>
          </cell>
          <cell r="AY335">
            <v>1</v>
          </cell>
          <cell r="AZ335">
            <v>0</v>
          </cell>
          <cell r="BA335">
            <v>1</v>
          </cell>
          <cell r="BC335">
            <v>0.20394890290527687</v>
          </cell>
          <cell r="BD335">
            <v>0.25493612863159609</v>
          </cell>
          <cell r="BE335">
            <v>0.39106599698846478</v>
          </cell>
          <cell r="BF335">
            <v>0.59216568662526614</v>
          </cell>
          <cell r="BG335">
            <v>0.86398695327731467</v>
          </cell>
          <cell r="BH335">
            <v>1.2126479355880064</v>
          </cell>
          <cell r="BI335">
            <v>1.645238502939353</v>
          </cell>
          <cell r="BJ335">
            <v>2.1696468630729555</v>
          </cell>
          <cell r="BL335">
            <v>161282.17543320486</v>
          </cell>
        </row>
        <row r="336">
          <cell r="A336">
            <v>10001420</v>
          </cell>
          <cell r="B336" t="str">
            <v/>
          </cell>
          <cell r="C336" t="str">
            <v>LSPL</v>
          </cell>
          <cell r="D336" t="str">
            <v>RPH</v>
          </cell>
          <cell r="E336">
            <v>33</v>
          </cell>
          <cell r="F336" t="str">
            <v>M</v>
          </cell>
          <cell r="G336">
            <v>35209</v>
          </cell>
          <cell r="H336">
            <v>1</v>
          </cell>
          <cell r="I336">
            <v>200000000</v>
          </cell>
          <cell r="J336">
            <v>1860000</v>
          </cell>
          <cell r="K336">
            <v>1860000</v>
          </cell>
          <cell r="L336">
            <v>1860000</v>
          </cell>
          <cell r="M336">
            <v>20</v>
          </cell>
          <cell r="N336">
            <v>52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T336">
            <v>0</v>
          </cell>
          <cell r="U336">
            <v>0</v>
          </cell>
          <cell r="W336">
            <v>9828169.6264556665</v>
          </cell>
          <cell r="X336">
            <v>0</v>
          </cell>
          <cell r="Y336">
            <v>0</v>
          </cell>
          <cell r="Z336">
            <v>0</v>
          </cell>
          <cell r="AB336">
            <v>1422415.396531608</v>
          </cell>
          <cell r="AC336">
            <v>0</v>
          </cell>
          <cell r="AD336">
            <v>0</v>
          </cell>
          <cell r="AE336">
            <v>0</v>
          </cell>
          <cell r="AH336">
            <v>89</v>
          </cell>
          <cell r="AI336">
            <v>84</v>
          </cell>
          <cell r="AJ336">
            <v>1</v>
          </cell>
          <cell r="AK336">
            <v>7.1120769826580393E-3</v>
          </cell>
          <cell r="AL336">
            <v>0</v>
          </cell>
          <cell r="AM336">
            <v>0</v>
          </cell>
          <cell r="AN336">
            <v>5.7138773596846493E-3</v>
          </cell>
          <cell r="AO336">
            <v>1.1835974297378898E-2</v>
          </cell>
          <cell r="AP336">
            <v>1.8376008234343988E-2</v>
          </cell>
          <cell r="AQ336">
            <v>2.5355147203067786E-2</v>
          </cell>
          <cell r="AR336">
            <v>3.2797170780131876E-2</v>
          </cell>
          <cell r="AS336">
            <v>4.071916564180221E-2</v>
          </cell>
          <cell r="AT336">
            <v>4.9140848132278328E-2</v>
          </cell>
          <cell r="AU336">
            <v>5.8094371124526471E-2</v>
          </cell>
          <cell r="AW336">
            <v>0</v>
          </cell>
          <cell r="AY336">
            <v>0</v>
          </cell>
          <cell r="AZ336">
            <v>0</v>
          </cell>
          <cell r="BA336">
            <v>0</v>
          </cell>
          <cell r="BC336">
            <v>0.22859547026974839</v>
          </cell>
          <cell r="BD336">
            <v>0.28574433783718545</v>
          </cell>
          <cell r="BE336">
            <v>0.43963179624991366</v>
          </cell>
          <cell r="BF336">
            <v>0.66860864247157115</v>
          </cell>
          <cell r="BG336">
            <v>0.98040917920574355</v>
          </cell>
          <cell r="BH336">
            <v>1.3830441539534091</v>
          </cell>
          <cell r="BI336">
            <v>1.8850810620789491</v>
          </cell>
          <cell r="BJ336">
            <v>2.4962600658297007</v>
          </cell>
          <cell r="BL336">
            <v>276608.83079068182</v>
          </cell>
        </row>
        <row r="337">
          <cell r="A337">
            <v>10001425</v>
          </cell>
          <cell r="B337" t="str">
            <v/>
          </cell>
          <cell r="C337" t="str">
            <v>LSPL</v>
          </cell>
          <cell r="D337" t="str">
            <v>RPH</v>
          </cell>
          <cell r="E337">
            <v>33</v>
          </cell>
          <cell r="F337" t="str">
            <v>M</v>
          </cell>
          <cell r="G337">
            <v>35224</v>
          </cell>
          <cell r="H337">
            <v>1</v>
          </cell>
          <cell r="I337">
            <v>500000000</v>
          </cell>
          <cell r="J337">
            <v>4150000</v>
          </cell>
          <cell r="K337">
            <v>4150000</v>
          </cell>
          <cell r="L337">
            <v>4150000</v>
          </cell>
          <cell r="M337">
            <v>20</v>
          </cell>
          <cell r="N337">
            <v>52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T337">
            <v>149400</v>
          </cell>
          <cell r="U337">
            <v>149400</v>
          </cell>
          <cell r="W337">
            <v>24570424.066139165</v>
          </cell>
          <cell r="X337">
            <v>0</v>
          </cell>
          <cell r="Y337">
            <v>0</v>
          </cell>
          <cell r="Z337">
            <v>298800</v>
          </cell>
          <cell r="AB337">
            <v>3556038.4913290194</v>
          </cell>
          <cell r="AC337">
            <v>0</v>
          </cell>
          <cell r="AD337">
            <v>0</v>
          </cell>
          <cell r="AE337">
            <v>149400</v>
          </cell>
          <cell r="AH337">
            <v>88</v>
          </cell>
          <cell r="AI337">
            <v>84</v>
          </cell>
          <cell r="AJ337">
            <v>1</v>
          </cell>
          <cell r="AK337">
            <v>7.1120769826580393E-3</v>
          </cell>
          <cell r="AL337">
            <v>0</v>
          </cell>
          <cell r="AM337">
            <v>0</v>
          </cell>
          <cell r="AN337">
            <v>5.7138773596846493E-3</v>
          </cell>
          <cell r="AO337">
            <v>1.1835974297378898E-2</v>
          </cell>
          <cell r="AP337">
            <v>1.8376008234343988E-2</v>
          </cell>
          <cell r="AQ337">
            <v>2.5355147203067786E-2</v>
          </cell>
          <cell r="AR337">
            <v>3.2797170780131876E-2</v>
          </cell>
          <cell r="AS337">
            <v>4.071916564180221E-2</v>
          </cell>
          <cell r="AT337">
            <v>4.9140848132278328E-2</v>
          </cell>
          <cell r="AU337">
            <v>5.8094371124526471E-2</v>
          </cell>
          <cell r="AW337">
            <v>0</v>
          </cell>
          <cell r="AY337">
            <v>0</v>
          </cell>
          <cell r="AZ337">
            <v>0</v>
          </cell>
          <cell r="BA337">
            <v>1</v>
          </cell>
          <cell r="BC337">
            <v>0.22859547026974839</v>
          </cell>
          <cell r="BD337">
            <v>0.28574433783718545</v>
          </cell>
          <cell r="BE337">
            <v>0.43963179624991366</v>
          </cell>
          <cell r="BF337">
            <v>0.66860864247157115</v>
          </cell>
          <cell r="BG337">
            <v>0.98040917920574355</v>
          </cell>
          <cell r="BH337">
            <v>1.3830441539534091</v>
          </cell>
          <cell r="BI337">
            <v>1.8850810620789491</v>
          </cell>
          <cell r="BJ337">
            <v>2.4962600658297007</v>
          </cell>
          <cell r="BL337">
            <v>691522.07697670453</v>
          </cell>
        </row>
        <row r="338">
          <cell r="A338">
            <v>10001426</v>
          </cell>
          <cell r="B338" t="str">
            <v/>
          </cell>
          <cell r="C338" t="str">
            <v>LSPL</v>
          </cell>
          <cell r="D338" t="str">
            <v>RPH</v>
          </cell>
          <cell r="E338">
            <v>19</v>
          </cell>
          <cell r="F338" t="str">
            <v>F</v>
          </cell>
          <cell r="G338">
            <v>35213</v>
          </cell>
          <cell r="H338">
            <v>1</v>
          </cell>
          <cell r="I338">
            <v>115000000</v>
          </cell>
          <cell r="J338">
            <v>517500</v>
          </cell>
          <cell r="K338">
            <v>517500</v>
          </cell>
          <cell r="L338">
            <v>517500</v>
          </cell>
          <cell r="M338">
            <v>20</v>
          </cell>
          <cell r="N338">
            <v>66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T338">
            <v>0</v>
          </cell>
          <cell r="U338">
            <v>0</v>
          </cell>
          <cell r="W338">
            <v>1977394.9628795336</v>
          </cell>
          <cell r="X338">
            <v>0</v>
          </cell>
          <cell r="Y338">
            <v>0</v>
          </cell>
          <cell r="Z338">
            <v>0</v>
          </cell>
          <cell r="AB338">
            <v>331660.19885067135</v>
          </cell>
          <cell r="AC338">
            <v>0</v>
          </cell>
          <cell r="AD338">
            <v>0</v>
          </cell>
          <cell r="AE338">
            <v>0</v>
          </cell>
          <cell r="AH338">
            <v>89</v>
          </cell>
          <cell r="AI338">
            <v>84</v>
          </cell>
          <cell r="AJ338">
            <v>1</v>
          </cell>
          <cell r="AK338">
            <v>2.8840017291362728E-3</v>
          </cell>
          <cell r="AL338">
            <v>0</v>
          </cell>
          <cell r="AM338">
            <v>0</v>
          </cell>
          <cell r="AN338">
            <v>1.9269107890104026E-3</v>
          </cell>
          <cell r="AO338">
            <v>4.0068711787839204E-3</v>
          </cell>
          <cell r="AP338">
            <v>6.2539627324896263E-3</v>
          </cell>
          <cell r="AQ338">
            <v>8.6835656957884311E-3</v>
          </cell>
          <cell r="AR338">
            <v>1.1301094190234489E-2</v>
          </cell>
          <cell r="AS338">
            <v>1.4135273562692743E-2</v>
          </cell>
          <cell r="AT338">
            <v>1.719473880764812E-2</v>
          </cell>
          <cell r="AU338">
            <v>2.0489044562641268E-2</v>
          </cell>
          <cell r="AW338">
            <v>0</v>
          </cell>
          <cell r="AY338">
            <v>0</v>
          </cell>
          <cell r="AZ338">
            <v>0</v>
          </cell>
          <cell r="BA338">
            <v>0</v>
          </cell>
          <cell r="BC338">
            <v>0.10144007341902997</v>
          </cell>
          <cell r="BD338">
            <v>0.12680009177378745</v>
          </cell>
          <cell r="BE338">
            <v>0.17593667066706609</v>
          </cell>
          <cell r="BF338">
            <v>0.24997002413095865</v>
          </cell>
          <cell r="BG338">
            <v>0.35171643806949499</v>
          </cell>
          <cell r="BH338">
            <v>0.48510784685211739</v>
          </cell>
          <cell r="BI338">
            <v>0.65372980971171213</v>
          </cell>
          <cell r="BJ338">
            <v>0.86140819598534279</v>
          </cell>
          <cell r="BL338">
            <v>55787.402387993498</v>
          </cell>
        </row>
        <row r="339">
          <cell r="A339">
            <v>10001476</v>
          </cell>
          <cell r="B339" t="str">
            <v/>
          </cell>
          <cell r="C339" t="str">
            <v>LSPL</v>
          </cell>
          <cell r="D339" t="str">
            <v>RPH</v>
          </cell>
          <cell r="E339">
            <v>26</v>
          </cell>
          <cell r="F339" t="str">
            <v>F</v>
          </cell>
          <cell r="G339">
            <v>35243</v>
          </cell>
          <cell r="H339">
            <v>1</v>
          </cell>
          <cell r="I339">
            <v>250000000</v>
          </cell>
          <cell r="J339">
            <v>1200000</v>
          </cell>
          <cell r="K339">
            <v>1200000</v>
          </cell>
          <cell r="L339">
            <v>1200000</v>
          </cell>
          <cell r="M339">
            <v>20</v>
          </cell>
          <cell r="N339">
            <v>59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T339">
            <v>34800</v>
          </cell>
          <cell r="U339">
            <v>34800</v>
          </cell>
          <cell r="W339">
            <v>6731781.8497955212</v>
          </cell>
          <cell r="X339">
            <v>0</v>
          </cell>
          <cell r="Y339">
            <v>0</v>
          </cell>
          <cell r="Z339">
            <v>69600</v>
          </cell>
          <cell r="AB339">
            <v>1025249.159039631</v>
          </cell>
          <cell r="AC339">
            <v>0</v>
          </cell>
          <cell r="AD339">
            <v>0</v>
          </cell>
          <cell r="AE339">
            <v>34800</v>
          </cell>
          <cell r="AH339">
            <v>88</v>
          </cell>
          <cell r="AI339">
            <v>84</v>
          </cell>
          <cell r="AJ339">
            <v>1</v>
          </cell>
          <cell r="AK339">
            <v>4.1009966361585243E-3</v>
          </cell>
          <cell r="AL339">
            <v>0</v>
          </cell>
          <cell r="AM339">
            <v>0</v>
          </cell>
          <cell r="AN339">
            <v>3.0484333994403312E-3</v>
          </cell>
          <cell r="AO339">
            <v>6.3301967884753924E-3</v>
          </cell>
          <cell r="AP339">
            <v>9.8669789068315111E-3</v>
          </cell>
          <cell r="AQ339">
            <v>1.3671132210657133E-2</v>
          </cell>
          <cell r="AR339">
            <v>1.7767634990969387E-2</v>
          </cell>
          <cell r="AS339">
            <v>2.2183810204720454E-2</v>
          </cell>
          <cell r="AT339">
            <v>2.6927127399182085E-2</v>
          </cell>
          <cell r="AU339">
            <v>3.202845588459162E-2</v>
          </cell>
          <cell r="AW339">
            <v>0</v>
          </cell>
          <cell r="AY339">
            <v>0</v>
          </cell>
          <cell r="AZ339">
            <v>0</v>
          </cell>
          <cell r="BA339">
            <v>1</v>
          </cell>
          <cell r="BC339">
            <v>0.14474460350579579</v>
          </cell>
          <cell r="BD339">
            <v>0.18093075438224474</v>
          </cell>
          <cell r="BE339">
            <v>0.26075927470202337</v>
          </cell>
          <cell r="BF339">
            <v>0.38042175803172823</v>
          </cell>
          <cell r="BG339">
            <v>0.54482197029764234</v>
          </cell>
          <cell r="BH339">
            <v>0.75952084880341963</v>
          </cell>
          <cell r="BI339">
            <v>1.0297304836757062</v>
          </cell>
          <cell r="BJ339">
            <v>1.3621120341322341</v>
          </cell>
          <cell r="BL339">
            <v>189880.2122008549</v>
          </cell>
        </row>
        <row r="340">
          <cell r="A340">
            <v>10001492</v>
          </cell>
          <cell r="B340" t="str">
            <v/>
          </cell>
          <cell r="C340" t="str">
            <v>LSPL</v>
          </cell>
          <cell r="D340" t="str">
            <v>RPH</v>
          </cell>
          <cell r="E340">
            <v>41</v>
          </cell>
          <cell r="F340" t="str">
            <v>M</v>
          </cell>
          <cell r="G340">
            <v>35239</v>
          </cell>
          <cell r="H340">
            <v>1</v>
          </cell>
          <cell r="I340">
            <v>100000000</v>
          </cell>
          <cell r="J340">
            <v>1470000</v>
          </cell>
          <cell r="K340">
            <v>1470000</v>
          </cell>
          <cell r="L340">
            <v>1470000</v>
          </cell>
          <cell r="M340">
            <v>20</v>
          </cell>
          <cell r="N340">
            <v>44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T340">
            <v>82300</v>
          </cell>
          <cell r="U340">
            <v>82300</v>
          </cell>
          <cell r="W340">
            <v>7613888.1236299789</v>
          </cell>
          <cell r="X340">
            <v>0</v>
          </cell>
          <cell r="Y340">
            <v>0</v>
          </cell>
          <cell r="Z340">
            <v>164600</v>
          </cell>
          <cell r="AB340">
            <v>1168646.7585960636</v>
          </cell>
          <cell r="AC340">
            <v>0</v>
          </cell>
          <cell r="AD340">
            <v>0</v>
          </cell>
          <cell r="AE340">
            <v>82300</v>
          </cell>
          <cell r="AH340">
            <v>88</v>
          </cell>
          <cell r="AI340">
            <v>84</v>
          </cell>
          <cell r="AJ340">
            <v>1</v>
          </cell>
          <cell r="AK340">
            <v>1.1686467585960637E-2</v>
          </cell>
          <cell r="AL340">
            <v>0</v>
          </cell>
          <cell r="AM340">
            <v>0</v>
          </cell>
          <cell r="AN340">
            <v>9.0618692034418469E-3</v>
          </cell>
          <cell r="AO340">
            <v>1.8660890489119897E-2</v>
          </cell>
          <cell r="AP340">
            <v>2.8834627624557074E-2</v>
          </cell>
          <cell r="AQ340">
            <v>3.9625422025645562E-2</v>
          </cell>
          <cell r="AR340">
            <v>5.1071445477495481E-2</v>
          </cell>
          <cell r="AS340">
            <v>6.3225763712497302E-2</v>
          </cell>
          <cell r="AT340">
            <v>7.6138881236299791E-2</v>
          </cell>
          <cell r="AU340">
            <v>8.9850061614292168E-2</v>
          </cell>
          <cell r="AW340">
            <v>0</v>
          </cell>
          <cell r="AY340">
            <v>0</v>
          </cell>
          <cell r="AZ340">
            <v>0</v>
          </cell>
          <cell r="BA340">
            <v>1</v>
          </cell>
          <cell r="BC340">
            <v>0.31072874764708674</v>
          </cell>
          <cell r="BD340">
            <v>0.38841093455885839</v>
          </cell>
          <cell r="BE340">
            <v>0.63541799029382695</v>
          </cell>
          <cell r="BF340">
            <v>1.0009145521217839</v>
          </cell>
          <cell r="BG340">
            <v>1.4963410347394988</v>
          </cell>
          <cell r="BH340">
            <v>2.1347307104172746</v>
          </cell>
          <cell r="BI340">
            <v>2.9302863965140609</v>
          </cell>
          <cell r="BJ340">
            <v>3.8978589140320818</v>
          </cell>
          <cell r="BL340">
            <v>213473.07104172747</v>
          </cell>
        </row>
        <row r="341">
          <cell r="A341">
            <v>10001517</v>
          </cell>
          <cell r="B341" t="str">
            <v/>
          </cell>
          <cell r="C341" t="str">
            <v>LSPL</v>
          </cell>
          <cell r="D341" t="str">
            <v>RPH</v>
          </cell>
          <cell r="E341">
            <v>36</v>
          </cell>
          <cell r="F341" t="str">
            <v>M</v>
          </cell>
          <cell r="G341">
            <v>35261</v>
          </cell>
          <cell r="H341">
            <v>2</v>
          </cell>
          <cell r="I341">
            <v>200000000</v>
          </cell>
          <cell r="J341">
            <v>1310400</v>
          </cell>
          <cell r="K341">
            <v>1310400</v>
          </cell>
          <cell r="L341">
            <v>2620800</v>
          </cell>
          <cell r="M341">
            <v>20</v>
          </cell>
          <cell r="N341">
            <v>49</v>
          </cell>
          <cell r="O341">
            <v>200000000</v>
          </cell>
          <cell r="P341">
            <v>520000</v>
          </cell>
          <cell r="Q341">
            <v>0</v>
          </cell>
          <cell r="R341">
            <v>0</v>
          </cell>
          <cell r="T341">
            <v>53700</v>
          </cell>
          <cell r="U341">
            <v>107400</v>
          </cell>
          <cell r="W341">
            <v>10649442.340591338</v>
          </cell>
          <cell r="X341">
            <v>520000</v>
          </cell>
          <cell r="Y341">
            <v>0</v>
          </cell>
          <cell r="Z341">
            <v>214800</v>
          </cell>
          <cell r="AB341">
            <v>1713384.0394819477</v>
          </cell>
          <cell r="AC341">
            <v>520000</v>
          </cell>
          <cell r="AD341">
            <v>0</v>
          </cell>
          <cell r="AE341">
            <v>107400</v>
          </cell>
          <cell r="AH341">
            <v>87</v>
          </cell>
          <cell r="AI341">
            <v>84</v>
          </cell>
          <cell r="AJ341">
            <v>1</v>
          </cell>
          <cell r="AK341">
            <v>8.5669201974097383E-3</v>
          </cell>
          <cell r="AL341">
            <v>0</v>
          </cell>
          <cell r="AM341">
            <v>1.3877787807814457E-17</v>
          </cell>
          <cell r="AN341">
            <v>6.8650369572001158E-3</v>
          </cell>
          <cell r="AO341">
            <v>1.4178832569811756E-2</v>
          </cell>
          <cell r="AP341">
            <v>2.1956544495307803E-2</v>
          </cell>
          <cell r="AQ341">
            <v>3.0215756146925038E-2</v>
          </cell>
          <cell r="AR341">
            <v>3.8986450877325343E-2</v>
          </cell>
          <cell r="AS341">
            <v>4.8302376287487792E-2</v>
          </cell>
          <cell r="AT341">
            <v>5.8192047118425586E-2</v>
          </cell>
          <cell r="AU341">
            <v>6.8697482372227128E-2</v>
          </cell>
          <cell r="AW341">
            <v>0</v>
          </cell>
          <cell r="AY341">
            <v>1</v>
          </cell>
          <cell r="AZ341">
            <v>0</v>
          </cell>
          <cell r="BA341">
            <v>1</v>
          </cell>
          <cell r="BC341">
            <v>0.26035396079201234</v>
          </cell>
          <cell r="BD341">
            <v>0.3254424509900154</v>
          </cell>
          <cell r="BE341">
            <v>0.51076499926717378</v>
          </cell>
          <cell r="BF341">
            <v>0.78523369259151043</v>
          </cell>
          <cell r="BG341">
            <v>1.1575789425551009</v>
          </cell>
          <cell r="BH341">
            <v>1.6374124869819597</v>
          </cell>
          <cell r="BI341">
            <v>2.2349042045939576</v>
          </cell>
          <cell r="BJ341">
            <v>2.9616745989892173</v>
          </cell>
          <cell r="BL341">
            <v>327482.49739639193</v>
          </cell>
        </row>
        <row r="342">
          <cell r="A342">
            <v>10001522</v>
          </cell>
          <cell r="B342" t="str">
            <v/>
          </cell>
          <cell r="C342" t="str">
            <v>LSPL</v>
          </cell>
          <cell r="D342" t="str">
            <v>RPH</v>
          </cell>
          <cell r="E342">
            <v>33</v>
          </cell>
          <cell r="F342" t="str">
            <v>M</v>
          </cell>
          <cell r="G342">
            <v>35249</v>
          </cell>
          <cell r="H342">
            <v>1</v>
          </cell>
          <cell r="I342">
            <v>125000000</v>
          </cell>
          <cell r="J342">
            <v>1162500</v>
          </cell>
          <cell r="K342">
            <v>1162500</v>
          </cell>
          <cell r="L342">
            <v>1162500</v>
          </cell>
          <cell r="M342">
            <v>20</v>
          </cell>
          <cell r="N342">
            <v>52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T342">
            <v>41900</v>
          </cell>
          <cell r="U342">
            <v>41900</v>
          </cell>
          <cell r="W342">
            <v>6142606.0165347913</v>
          </cell>
          <cell r="X342">
            <v>0</v>
          </cell>
          <cell r="Y342">
            <v>0</v>
          </cell>
          <cell r="Z342">
            <v>83800</v>
          </cell>
          <cell r="AB342">
            <v>889009.62283225486</v>
          </cell>
          <cell r="AC342">
            <v>0</v>
          </cell>
          <cell r="AD342">
            <v>0</v>
          </cell>
          <cell r="AE342">
            <v>41900</v>
          </cell>
          <cell r="AH342">
            <v>87</v>
          </cell>
          <cell r="AI342">
            <v>84</v>
          </cell>
          <cell r="AJ342">
            <v>1</v>
          </cell>
          <cell r="AK342">
            <v>7.1120769826580393E-3</v>
          </cell>
          <cell r="AL342">
            <v>0</v>
          </cell>
          <cell r="AM342">
            <v>0</v>
          </cell>
          <cell r="AN342">
            <v>5.7138773596846493E-3</v>
          </cell>
          <cell r="AO342">
            <v>1.1835974297378898E-2</v>
          </cell>
          <cell r="AP342">
            <v>1.8376008234343988E-2</v>
          </cell>
          <cell r="AQ342">
            <v>2.5355147203067786E-2</v>
          </cell>
          <cell r="AR342">
            <v>3.2797170780131876E-2</v>
          </cell>
          <cell r="AS342">
            <v>4.071916564180221E-2</v>
          </cell>
          <cell r="AT342">
            <v>4.9140848132278328E-2</v>
          </cell>
          <cell r="AU342">
            <v>5.8094371124526471E-2</v>
          </cell>
          <cell r="AW342">
            <v>0</v>
          </cell>
          <cell r="AY342">
            <v>0</v>
          </cell>
          <cell r="AZ342">
            <v>0</v>
          </cell>
          <cell r="BA342">
            <v>1</v>
          </cell>
          <cell r="BC342">
            <v>0.22859547026974839</v>
          </cell>
          <cell r="BD342">
            <v>0.28574433783718545</v>
          </cell>
          <cell r="BE342">
            <v>0.43963179624991366</v>
          </cell>
          <cell r="BF342">
            <v>0.66860864247157115</v>
          </cell>
          <cell r="BG342">
            <v>0.98040917920574355</v>
          </cell>
          <cell r="BH342">
            <v>1.3830441539534091</v>
          </cell>
          <cell r="BI342">
            <v>1.8850810620789491</v>
          </cell>
          <cell r="BJ342">
            <v>2.4962600658297007</v>
          </cell>
          <cell r="BL342">
            <v>172880.51924417613</v>
          </cell>
        </row>
        <row r="343">
          <cell r="A343">
            <v>10001527</v>
          </cell>
          <cell r="B343" t="str">
            <v/>
          </cell>
          <cell r="C343" t="str">
            <v>LSPL</v>
          </cell>
          <cell r="D343" t="str">
            <v>RPH</v>
          </cell>
          <cell r="E343">
            <v>36</v>
          </cell>
          <cell r="F343" t="str">
            <v>F</v>
          </cell>
          <cell r="G343">
            <v>35255</v>
          </cell>
          <cell r="H343">
            <v>1</v>
          </cell>
          <cell r="I343">
            <v>250000000</v>
          </cell>
          <cell r="J343">
            <v>2150000</v>
          </cell>
          <cell r="K343">
            <v>2150000</v>
          </cell>
          <cell r="L343">
            <v>2150000</v>
          </cell>
          <cell r="M343">
            <v>20</v>
          </cell>
          <cell r="N343">
            <v>49</v>
          </cell>
          <cell r="O343">
            <v>250000000</v>
          </cell>
          <cell r="P343">
            <v>625000</v>
          </cell>
          <cell r="Q343">
            <v>0</v>
          </cell>
          <cell r="R343">
            <v>0</v>
          </cell>
          <cell r="T343">
            <v>88200</v>
          </cell>
          <cell r="U343">
            <v>88200</v>
          </cell>
          <cell r="W343">
            <v>11971983.412660467</v>
          </cell>
          <cell r="X343">
            <v>625000</v>
          </cell>
          <cell r="Y343">
            <v>0</v>
          </cell>
          <cell r="Z343">
            <v>176400</v>
          </cell>
          <cell r="AB343">
            <v>1831491.8056454698</v>
          </cell>
          <cell r="AC343">
            <v>625000</v>
          </cell>
          <cell r="AD343">
            <v>0</v>
          </cell>
          <cell r="AE343">
            <v>88200</v>
          </cell>
          <cell r="AH343">
            <v>87</v>
          </cell>
          <cell r="AI343">
            <v>84</v>
          </cell>
          <cell r="AJ343">
            <v>1</v>
          </cell>
          <cell r="AK343">
            <v>7.3259672225818792E-3</v>
          </cell>
          <cell r="AL343">
            <v>0</v>
          </cell>
          <cell r="AM343">
            <v>0</v>
          </cell>
          <cell r="AN343">
            <v>5.7442518162080236E-3</v>
          </cell>
          <cell r="AO343">
            <v>1.182600655533822E-2</v>
          </cell>
          <cell r="AP343">
            <v>1.8256359384771464E-2</v>
          </cell>
          <cell r="AQ343">
            <v>2.5048113488209067E-2</v>
          </cell>
          <cell r="AR343">
            <v>3.2227166388465692E-2</v>
          </cell>
          <cell r="AS343">
            <v>3.9822386956140612E-2</v>
          </cell>
          <cell r="AT343">
            <v>4.7887933650641867E-2</v>
          </cell>
          <cell r="AU343">
            <v>5.64504700111782E-2</v>
          </cell>
          <cell r="AW343">
            <v>0</v>
          </cell>
          <cell r="AY343">
            <v>1</v>
          </cell>
          <cell r="AZ343">
            <v>0</v>
          </cell>
          <cell r="BA343">
            <v>1</v>
          </cell>
          <cell r="BC343">
            <v>0.22059088374167457</v>
          </cell>
          <cell r="BD343">
            <v>0.27573860467709321</v>
          </cell>
          <cell r="BE343">
            <v>0.42706398305024751</v>
          </cell>
          <cell r="BF343">
            <v>0.64993063656281924</v>
          </cell>
          <cell r="BG343">
            <v>0.9508580516840438</v>
          </cell>
          <cell r="BH343">
            <v>1.3370868633042829</v>
          </cell>
          <cell r="BI343">
            <v>1.817762880136502</v>
          </cell>
          <cell r="BJ343">
            <v>2.4017808489955565</v>
          </cell>
          <cell r="BL343">
            <v>334271.71582607075</v>
          </cell>
        </row>
        <row r="344">
          <cell r="A344">
            <v>10001541</v>
          </cell>
          <cell r="B344" t="str">
            <v/>
          </cell>
          <cell r="C344" t="str">
            <v>LSPL</v>
          </cell>
          <cell r="D344" t="str">
            <v>RPH</v>
          </cell>
          <cell r="E344">
            <v>38</v>
          </cell>
          <cell r="F344" t="str">
            <v>F</v>
          </cell>
          <cell r="G344">
            <v>35274</v>
          </cell>
          <cell r="H344">
            <v>1</v>
          </cell>
          <cell r="I344">
            <v>100000000</v>
          </cell>
          <cell r="J344">
            <v>1070000</v>
          </cell>
          <cell r="K344">
            <v>1070000</v>
          </cell>
          <cell r="L344">
            <v>1070000</v>
          </cell>
          <cell r="M344">
            <v>20</v>
          </cell>
          <cell r="N344">
            <v>47</v>
          </cell>
          <cell r="O344">
            <v>100000000</v>
          </cell>
          <cell r="P344">
            <v>250000</v>
          </cell>
          <cell r="Q344">
            <v>0</v>
          </cell>
          <cell r="R344">
            <v>0</v>
          </cell>
          <cell r="T344">
            <v>49200</v>
          </cell>
          <cell r="U344">
            <v>49200</v>
          </cell>
          <cell r="W344">
            <v>5291691.7867035978</v>
          </cell>
          <cell r="X344">
            <v>250000</v>
          </cell>
          <cell r="Y344">
            <v>0</v>
          </cell>
          <cell r="Z344">
            <v>98400</v>
          </cell>
          <cell r="AB344">
            <v>825831.48085213045</v>
          </cell>
          <cell r="AC344">
            <v>250000</v>
          </cell>
          <cell r="AD344">
            <v>0</v>
          </cell>
          <cell r="AE344">
            <v>49200</v>
          </cell>
          <cell r="AH344">
            <v>87</v>
          </cell>
          <cell r="AI344">
            <v>84</v>
          </cell>
          <cell r="AJ344">
            <v>1</v>
          </cell>
          <cell r="AK344">
            <v>8.2583148085213047E-3</v>
          </cell>
          <cell r="AL344">
            <v>0</v>
          </cell>
          <cell r="AM344">
            <v>0</v>
          </cell>
          <cell r="AN344">
            <v>6.3505062920754668E-3</v>
          </cell>
          <cell r="AO344">
            <v>1.3052090055667501E-2</v>
          </cell>
          <cell r="AP344">
            <v>2.0129500848399012E-2</v>
          </cell>
          <cell r="AQ344">
            <v>2.7610339700195732E-2</v>
          </cell>
          <cell r="AR344">
            <v>3.5547648761945522E-2</v>
          </cell>
          <cell r="AS344">
            <v>4.3966431494802297E-2</v>
          </cell>
          <cell r="AT344">
            <v>5.2916917867035979E-2</v>
          </cell>
          <cell r="AU344">
            <v>6.2454548721996302E-2</v>
          </cell>
          <cell r="AW344">
            <v>0</v>
          </cell>
          <cell r="AY344">
            <v>1</v>
          </cell>
          <cell r="AZ344">
            <v>0</v>
          </cell>
          <cell r="BA344">
            <v>1</v>
          </cell>
          <cell r="BC344">
            <v>0.23573646360674541</v>
          </cell>
          <cell r="BD344">
            <v>0.29467057950843178</v>
          </cell>
          <cell r="BE344">
            <v>0.46192676239073049</v>
          </cell>
          <cell r="BF344">
            <v>0.7084489917766259</v>
          </cell>
          <cell r="BG344">
            <v>1.0424758864008132</v>
          </cell>
          <cell r="BH344">
            <v>1.4722288765511022</v>
          </cell>
          <cell r="BI344">
            <v>2.0077613706941051</v>
          </cell>
          <cell r="BJ344">
            <v>2.6605839711572328</v>
          </cell>
          <cell r="BL344">
            <v>147222.88765511021</v>
          </cell>
        </row>
        <row r="345">
          <cell r="A345">
            <v>10001553</v>
          </cell>
          <cell r="B345" t="str">
            <v/>
          </cell>
          <cell r="C345" t="str">
            <v>LSPL</v>
          </cell>
          <cell r="D345" t="str">
            <v>RPH</v>
          </cell>
          <cell r="E345">
            <v>26</v>
          </cell>
          <cell r="F345" t="str">
            <v>M</v>
          </cell>
          <cell r="G345">
            <v>35265</v>
          </cell>
          <cell r="H345">
            <v>1</v>
          </cell>
          <cell r="I345">
            <v>125000000</v>
          </cell>
          <cell r="J345">
            <v>825000</v>
          </cell>
          <cell r="K345">
            <v>825000</v>
          </cell>
          <cell r="L345">
            <v>825000</v>
          </cell>
          <cell r="M345">
            <v>20</v>
          </cell>
          <cell r="N345">
            <v>59</v>
          </cell>
          <cell r="O345">
            <v>125000000</v>
          </cell>
          <cell r="P345">
            <v>312500</v>
          </cell>
          <cell r="Q345">
            <v>0</v>
          </cell>
          <cell r="R345">
            <v>0</v>
          </cell>
          <cell r="T345">
            <v>23900</v>
          </cell>
          <cell r="U345">
            <v>23900</v>
          </cell>
          <cell r="W345">
            <v>3933019.313386912</v>
          </cell>
          <cell r="X345">
            <v>312500</v>
          </cell>
          <cell r="Y345">
            <v>0</v>
          </cell>
          <cell r="Z345">
            <v>47800</v>
          </cell>
          <cell r="AB345">
            <v>592290.4094663607</v>
          </cell>
          <cell r="AC345">
            <v>312500</v>
          </cell>
          <cell r="AD345">
            <v>0</v>
          </cell>
          <cell r="AE345">
            <v>23900</v>
          </cell>
          <cell r="AH345">
            <v>87</v>
          </cell>
          <cell r="AI345">
            <v>84</v>
          </cell>
          <cell r="AJ345">
            <v>1</v>
          </cell>
          <cell r="AK345">
            <v>4.7383232757308852E-3</v>
          </cell>
          <cell r="AL345">
            <v>0</v>
          </cell>
          <cell r="AM345">
            <v>0</v>
          </cell>
          <cell r="AN345">
            <v>3.4606901507043542E-3</v>
          </cell>
          <cell r="AO345">
            <v>7.2492483570213567E-3</v>
          </cell>
          <cell r="AP345">
            <v>1.1366002604179068E-2</v>
          </cell>
          <cell r="AQ345">
            <v>1.5831420194442072E-2</v>
          </cell>
          <cell r="AR345">
            <v>2.0658205151761685E-2</v>
          </cell>
          <cell r="AS345">
            <v>2.5860575261706258E-2</v>
          </cell>
          <cell r="AT345">
            <v>3.1464154507095297E-2</v>
          </cell>
          <cell r="AU345">
            <v>3.7487550261316269E-2</v>
          </cell>
          <cell r="AW345">
            <v>0</v>
          </cell>
          <cell r="AY345">
            <v>1</v>
          </cell>
          <cell r="AZ345">
            <v>0</v>
          </cell>
          <cell r="BA345">
            <v>1</v>
          </cell>
          <cell r="BC345">
            <v>0.16724685847977888</v>
          </cell>
          <cell r="BD345">
            <v>0.20905857309972359</v>
          </cell>
          <cell r="BE345">
            <v>0.30222686806896965</v>
          </cell>
          <cell r="BF345">
            <v>0.44309694421085855</v>
          </cell>
          <cell r="BG345">
            <v>0.6373940836473273</v>
          </cell>
          <cell r="BH345">
            <v>0.89120598911629245</v>
          </cell>
          <cell r="BI345">
            <v>1.2115107640960969</v>
          </cell>
          <cell r="BJ345">
            <v>1.6055017170998658</v>
          </cell>
          <cell r="BL345">
            <v>111400.74863953656</v>
          </cell>
        </row>
        <row r="346">
          <cell r="A346">
            <v>10001574</v>
          </cell>
          <cell r="B346" t="str">
            <v/>
          </cell>
          <cell r="C346" t="str">
            <v>LSPL</v>
          </cell>
          <cell r="D346" t="str">
            <v>RPH</v>
          </cell>
          <cell r="E346">
            <v>31</v>
          </cell>
          <cell r="F346" t="str">
            <v>F</v>
          </cell>
          <cell r="G346">
            <v>35304</v>
          </cell>
          <cell r="H346">
            <v>1</v>
          </cell>
          <cell r="I346">
            <v>302517000</v>
          </cell>
          <cell r="J346">
            <v>1936100</v>
          </cell>
          <cell r="K346">
            <v>1936100</v>
          </cell>
          <cell r="L346">
            <v>1936100</v>
          </cell>
          <cell r="M346">
            <v>20</v>
          </cell>
          <cell r="N346">
            <v>54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T346">
            <v>63900</v>
          </cell>
          <cell r="U346">
            <v>63900</v>
          </cell>
          <cell r="W346">
            <v>11114939.953446118</v>
          </cell>
          <cell r="X346">
            <v>0</v>
          </cell>
          <cell r="Y346">
            <v>0</v>
          </cell>
          <cell r="Z346">
            <v>127800</v>
          </cell>
          <cell r="AB346">
            <v>1643875.5015415193</v>
          </cell>
          <cell r="AC346">
            <v>0</v>
          </cell>
          <cell r="AD346">
            <v>0</v>
          </cell>
          <cell r="AE346">
            <v>63900</v>
          </cell>
          <cell r="AH346">
            <v>86</v>
          </cell>
          <cell r="AI346">
            <v>84</v>
          </cell>
          <cell r="AJ346">
            <v>1</v>
          </cell>
          <cell r="AK346">
            <v>5.433993797180057E-3</v>
          </cell>
          <cell r="AL346">
            <v>0</v>
          </cell>
          <cell r="AM346">
            <v>0</v>
          </cell>
          <cell r="AN346">
            <v>4.2397204864084506E-3</v>
          </cell>
          <cell r="AO346">
            <v>8.788913735336773E-3</v>
          </cell>
          <cell r="AP346">
            <v>1.3676791790443329E-2</v>
          </cell>
          <cell r="AQ346">
            <v>1.8912730678986897E-2</v>
          </cell>
          <cell r="AR346">
            <v>2.4496200226095236E-2</v>
          </cell>
          <cell r="AS346">
            <v>3.0438519909245544E-2</v>
          </cell>
          <cell r="AT346">
            <v>3.6741538338163203E-2</v>
          </cell>
          <cell r="AU346">
            <v>4.3419172379432498E-2</v>
          </cell>
          <cell r="AW346">
            <v>0</v>
          </cell>
          <cell r="AY346">
            <v>0</v>
          </cell>
          <cell r="AZ346">
            <v>0</v>
          </cell>
          <cell r="BA346">
            <v>1</v>
          </cell>
          <cell r="BC346">
            <v>0.17880287510175011</v>
          </cell>
          <cell r="BD346">
            <v>0.22350359387718763</v>
          </cell>
          <cell r="BE346">
            <v>0.3365703304544298</v>
          </cell>
          <cell r="BF346">
            <v>0.50540933409865452</v>
          </cell>
          <cell r="BG346">
            <v>0.73531001391881368</v>
          </cell>
          <cell r="BH346">
            <v>1.0320847506228477</v>
          </cell>
          <cell r="BI346">
            <v>1.4013575369094666</v>
          </cell>
          <cell r="BJ346">
            <v>1.8494729809369266</v>
          </cell>
          <cell r="BL346">
            <v>312223.18250417203</v>
          </cell>
        </row>
        <row r="347">
          <cell r="A347">
            <v>10001576</v>
          </cell>
          <cell r="B347" t="str">
            <v/>
          </cell>
          <cell r="C347" t="str">
            <v>LSPL</v>
          </cell>
          <cell r="D347" t="str">
            <v>RPH</v>
          </cell>
          <cell r="E347">
            <v>52</v>
          </cell>
          <cell r="F347" t="str">
            <v>F</v>
          </cell>
          <cell r="G347">
            <v>35274</v>
          </cell>
          <cell r="H347">
            <v>2</v>
          </cell>
          <cell r="I347">
            <v>50000000</v>
          </cell>
          <cell r="J347">
            <v>598000</v>
          </cell>
          <cell r="K347">
            <v>598000</v>
          </cell>
          <cell r="L347">
            <v>1196000</v>
          </cell>
          <cell r="M347">
            <v>20</v>
          </cell>
          <cell r="N347">
            <v>33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T347">
            <v>0</v>
          </cell>
          <cell r="U347">
            <v>0</v>
          </cell>
          <cell r="W347">
            <v>5000359.8164642118</v>
          </cell>
          <cell r="X347">
            <v>0</v>
          </cell>
          <cell r="Y347">
            <v>0</v>
          </cell>
          <cell r="Z347">
            <v>0</v>
          </cell>
          <cell r="AB347">
            <v>925167.20935857028</v>
          </cell>
          <cell r="AC347">
            <v>0</v>
          </cell>
          <cell r="AD347">
            <v>0</v>
          </cell>
          <cell r="AE347">
            <v>0</v>
          </cell>
          <cell r="AH347">
            <v>87</v>
          </cell>
          <cell r="AI347">
            <v>84</v>
          </cell>
          <cell r="AJ347">
            <v>1</v>
          </cell>
          <cell r="AK347">
            <v>1.8503344187171405E-2</v>
          </cell>
          <cell r="AL347">
            <v>0</v>
          </cell>
          <cell r="AM347">
            <v>5.5511151231257827E-17</v>
          </cell>
          <cell r="AN347">
            <v>1.2926486797651154E-2</v>
          </cell>
          <cell r="AO347">
            <v>2.6590482297757317E-2</v>
          </cell>
          <cell r="AP347">
            <v>4.106896168106286E-2</v>
          </cell>
          <cell r="AQ347">
            <v>5.6470352457922895E-2</v>
          </cell>
          <cell r="AR347">
            <v>7.2925712036095214E-2</v>
          </cell>
          <cell r="AS347">
            <v>9.0558711188804569E-2</v>
          </cell>
          <cell r="AT347">
            <v>0.10945568146976389</v>
          </cell>
          <cell r="AU347">
            <v>0.12966668146618326</v>
          </cell>
          <cell r="AW347">
            <v>0</v>
          </cell>
          <cell r="AY347">
            <v>0</v>
          </cell>
          <cell r="AZ347">
            <v>0</v>
          </cell>
          <cell r="BA347">
            <v>0</v>
          </cell>
          <cell r="BC347">
            <v>0.2360455377882793</v>
          </cell>
          <cell r="BD347">
            <v>0.30705122851197075</v>
          </cell>
          <cell r="BE347">
            <v>0.66800708084605698</v>
          </cell>
          <cell r="BF347">
            <v>1.2021144324097603</v>
          </cell>
          <cell r="BG347">
            <v>1.9296399525583805</v>
          </cell>
          <cell r="BH347">
            <v>2.8736312661127106</v>
          </cell>
          <cell r="BI347">
            <v>4.0582765286322884</v>
          </cell>
          <cell r="BJ347">
            <v>5.50795861256272</v>
          </cell>
          <cell r="BL347">
            <v>143681.56330563553</v>
          </cell>
        </row>
        <row r="348">
          <cell r="A348">
            <v>10001577</v>
          </cell>
          <cell r="B348" t="str">
            <v/>
          </cell>
          <cell r="C348" t="str">
            <v>LSPL</v>
          </cell>
          <cell r="D348" t="str">
            <v>RPH</v>
          </cell>
          <cell r="E348">
            <v>26</v>
          </cell>
          <cell r="F348" t="str">
            <v>F</v>
          </cell>
          <cell r="G348">
            <v>35274</v>
          </cell>
          <cell r="H348">
            <v>1</v>
          </cell>
          <cell r="I348">
            <v>175000000</v>
          </cell>
          <cell r="J348">
            <v>1015000</v>
          </cell>
          <cell r="K348">
            <v>1015000</v>
          </cell>
          <cell r="L348">
            <v>1015000</v>
          </cell>
          <cell r="M348">
            <v>20</v>
          </cell>
          <cell r="N348">
            <v>59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T348">
            <v>29400</v>
          </cell>
          <cell r="U348">
            <v>29400</v>
          </cell>
          <cell r="W348">
            <v>4712247.294856865</v>
          </cell>
          <cell r="X348">
            <v>0</v>
          </cell>
          <cell r="Y348">
            <v>0</v>
          </cell>
          <cell r="Z348">
            <v>58800</v>
          </cell>
          <cell r="AB348">
            <v>717674.41132774169</v>
          </cell>
          <cell r="AC348">
            <v>0</v>
          </cell>
          <cell r="AD348">
            <v>0</v>
          </cell>
          <cell r="AE348">
            <v>29400</v>
          </cell>
          <cell r="AH348">
            <v>87</v>
          </cell>
          <cell r="AI348">
            <v>84</v>
          </cell>
          <cell r="AJ348">
            <v>1</v>
          </cell>
          <cell r="AK348">
            <v>4.1009966361585243E-3</v>
          </cell>
          <cell r="AL348">
            <v>0</v>
          </cell>
          <cell r="AM348">
            <v>0</v>
          </cell>
          <cell r="AN348">
            <v>3.0484333994403312E-3</v>
          </cell>
          <cell r="AO348">
            <v>6.3301967884753924E-3</v>
          </cell>
          <cell r="AP348">
            <v>9.8669789068315111E-3</v>
          </cell>
          <cell r="AQ348">
            <v>1.3671132210657133E-2</v>
          </cell>
          <cell r="AR348">
            <v>1.7767634990969387E-2</v>
          </cell>
          <cell r="AS348">
            <v>2.2183810204720454E-2</v>
          </cell>
          <cell r="AT348">
            <v>2.6927127399182085E-2</v>
          </cell>
          <cell r="AU348">
            <v>3.202845588459162E-2</v>
          </cell>
          <cell r="AW348">
            <v>0</v>
          </cell>
          <cell r="AY348">
            <v>0</v>
          </cell>
          <cell r="AZ348">
            <v>0</v>
          </cell>
          <cell r="BA348">
            <v>1</v>
          </cell>
          <cell r="BC348">
            <v>0.14474460350579579</v>
          </cell>
          <cell r="BD348">
            <v>0.18093075438224474</v>
          </cell>
          <cell r="BE348">
            <v>0.26075927470202337</v>
          </cell>
          <cell r="BF348">
            <v>0.38042175803172823</v>
          </cell>
          <cell r="BG348">
            <v>0.54482197029764234</v>
          </cell>
          <cell r="BH348">
            <v>0.75952084880341963</v>
          </cell>
          <cell r="BI348">
            <v>1.0297304836757062</v>
          </cell>
          <cell r="BJ348">
            <v>1.3621120341322341</v>
          </cell>
          <cell r="BL348">
            <v>132916.14854059843</v>
          </cell>
        </row>
        <row r="349">
          <cell r="A349">
            <v>10001584</v>
          </cell>
          <cell r="B349" t="str">
            <v/>
          </cell>
          <cell r="C349" t="str">
            <v>LSPL</v>
          </cell>
          <cell r="D349" t="str">
            <v>RPH</v>
          </cell>
          <cell r="E349">
            <v>35</v>
          </cell>
          <cell r="F349" t="str">
            <v>M</v>
          </cell>
          <cell r="G349">
            <v>35272</v>
          </cell>
          <cell r="H349">
            <v>1</v>
          </cell>
          <cell r="I349">
            <v>100000000</v>
          </cell>
          <cell r="J349">
            <v>1040000</v>
          </cell>
          <cell r="K349">
            <v>1040000</v>
          </cell>
          <cell r="L349">
            <v>1040000</v>
          </cell>
          <cell r="M349">
            <v>20</v>
          </cell>
          <cell r="N349">
            <v>50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T349">
            <v>40600</v>
          </cell>
          <cell r="U349">
            <v>40600</v>
          </cell>
          <cell r="W349">
            <v>5506089.7669044016</v>
          </cell>
          <cell r="X349">
            <v>0</v>
          </cell>
          <cell r="Y349">
            <v>0</v>
          </cell>
          <cell r="Z349">
            <v>81200</v>
          </cell>
          <cell r="AB349">
            <v>804981.97267708252</v>
          </cell>
          <cell r="AC349">
            <v>0</v>
          </cell>
          <cell r="AD349">
            <v>0</v>
          </cell>
          <cell r="AE349">
            <v>40600</v>
          </cell>
          <cell r="AH349">
            <v>87</v>
          </cell>
          <cell r="AI349">
            <v>84</v>
          </cell>
          <cell r="AJ349">
            <v>1</v>
          </cell>
          <cell r="AK349">
            <v>8.0498197267708255E-3</v>
          </cell>
          <cell r="AL349">
            <v>0</v>
          </cell>
          <cell r="AM349">
            <v>0</v>
          </cell>
          <cell r="AN349">
            <v>6.4693123067318115E-3</v>
          </cell>
          <cell r="AO349">
            <v>1.3369143082794119E-2</v>
          </cell>
          <cell r="AP349">
            <v>2.0722204971750091E-2</v>
          </cell>
          <cell r="AQ349">
            <v>2.8544285348899565E-2</v>
          </cell>
          <cell r="AR349">
            <v>3.6853663572734938E-2</v>
          </cell>
          <cell r="AS349">
            <v>4.5681025905056571E-2</v>
          </cell>
          <cell r="AT349">
            <v>5.5060897669044012E-2</v>
          </cell>
          <cell r="AU349">
            <v>6.502272353729352E-2</v>
          </cell>
          <cell r="AW349">
            <v>0</v>
          </cell>
          <cell r="AY349">
            <v>0</v>
          </cell>
          <cell r="AZ349">
            <v>0</v>
          </cell>
          <cell r="BA349">
            <v>1</v>
          </cell>
          <cell r="BC349">
            <v>0.25053185522269711</v>
          </cell>
          <cell r="BD349">
            <v>0.31316481902837134</v>
          </cell>
          <cell r="BE349">
            <v>0.48767249426225812</v>
          </cell>
          <cell r="BF349">
            <v>0.746557783531269</v>
          </cell>
          <cell r="BG349">
            <v>1.0978787983719966</v>
          </cell>
          <cell r="BH349">
            <v>1.5506867093882037</v>
          </cell>
          <cell r="BI349">
            <v>2.1149603100158902</v>
          </cell>
          <cell r="BJ349">
            <v>2.8012412453396784</v>
          </cell>
          <cell r="BL349">
            <v>155068.67093882037</v>
          </cell>
        </row>
        <row r="350">
          <cell r="A350">
            <v>10001602</v>
          </cell>
          <cell r="B350" t="str">
            <v/>
          </cell>
          <cell r="C350" t="str">
            <v>LSPL</v>
          </cell>
          <cell r="D350" t="str">
            <v>RPH</v>
          </cell>
          <cell r="E350">
            <v>37</v>
          </cell>
          <cell r="F350" t="str">
            <v>M</v>
          </cell>
          <cell r="G350">
            <v>35296</v>
          </cell>
          <cell r="H350">
            <v>1</v>
          </cell>
          <cell r="I350">
            <v>125000000</v>
          </cell>
          <cell r="J350">
            <v>1462500</v>
          </cell>
          <cell r="K350">
            <v>1462500</v>
          </cell>
          <cell r="L350">
            <v>1462500</v>
          </cell>
          <cell r="M350">
            <v>20</v>
          </cell>
          <cell r="N350">
            <v>48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T350">
            <v>64400</v>
          </cell>
          <cell r="U350">
            <v>64400</v>
          </cell>
          <cell r="W350">
            <v>7681666.4281082153</v>
          </cell>
          <cell r="X350">
            <v>0</v>
          </cell>
          <cell r="Y350">
            <v>0</v>
          </cell>
          <cell r="Z350">
            <v>128800</v>
          </cell>
          <cell r="AB350">
            <v>1139720.1268496092</v>
          </cell>
          <cell r="AC350">
            <v>0</v>
          </cell>
          <cell r="AD350">
            <v>0</v>
          </cell>
          <cell r="AE350">
            <v>64400</v>
          </cell>
          <cell r="AH350">
            <v>86</v>
          </cell>
          <cell r="AI350">
            <v>84</v>
          </cell>
          <cell r="AJ350">
            <v>1</v>
          </cell>
          <cell r="AK350">
            <v>9.1177610147968741E-3</v>
          </cell>
          <cell r="AL350">
            <v>0</v>
          </cell>
          <cell r="AM350">
            <v>0</v>
          </cell>
          <cell r="AN350">
            <v>7.2778641821367313E-3</v>
          </cell>
          <cell r="AO350">
            <v>1.5014774310157034E-2</v>
          </cell>
          <cell r="AP350">
            <v>2.3227630540402153E-2</v>
          </cell>
          <cell r="AQ350">
            <v>3.1945731195856822E-2</v>
          </cell>
          <cell r="AR350">
            <v>4.1202066175122259E-2</v>
          </cell>
          <cell r="AS350">
            <v>5.1024239321477427E-2</v>
          </cell>
          <cell r="AT350">
            <v>6.1453331424865726E-2</v>
          </cell>
          <cell r="AU350">
            <v>7.2535584071892215E-2</v>
          </cell>
          <cell r="AW350">
            <v>0</v>
          </cell>
          <cell r="AY350">
            <v>0</v>
          </cell>
          <cell r="AZ350">
            <v>0</v>
          </cell>
          <cell r="BA350">
            <v>1</v>
          </cell>
          <cell r="BC350">
            <v>0.27031789940364032</v>
          </cell>
          <cell r="BD350">
            <v>0.33789737425455041</v>
          </cell>
          <cell r="BE350">
            <v>0.53432772104243442</v>
          </cell>
          <cell r="BF350">
            <v>0.82515877544121263</v>
          </cell>
          <cell r="BG350">
            <v>1.2196517086985799</v>
          </cell>
          <cell r="BH350">
            <v>1.7276236804825027</v>
          </cell>
          <cell r="BI350">
            <v>2.3602391760373296</v>
          </cell>
          <cell r="BJ350">
            <v>3.1299480473973644</v>
          </cell>
          <cell r="BL350">
            <v>215952.96006031285</v>
          </cell>
        </row>
        <row r="351">
          <cell r="A351">
            <v>10001614</v>
          </cell>
          <cell r="B351" t="str">
            <v/>
          </cell>
          <cell r="C351" t="str">
            <v>LSPL</v>
          </cell>
          <cell r="D351" t="str">
            <v>RPH</v>
          </cell>
          <cell r="E351">
            <v>24</v>
          </cell>
          <cell r="F351" t="str">
            <v>F</v>
          </cell>
          <cell r="G351">
            <v>35305</v>
          </cell>
          <cell r="H351">
            <v>1</v>
          </cell>
          <cell r="I351">
            <v>100000000</v>
          </cell>
          <cell r="J351">
            <v>540000</v>
          </cell>
          <cell r="K351">
            <v>540000</v>
          </cell>
          <cell r="L351">
            <v>540000</v>
          </cell>
          <cell r="M351">
            <v>20</v>
          </cell>
          <cell r="N351">
            <v>61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T351">
            <v>14600</v>
          </cell>
          <cell r="U351">
            <v>14600</v>
          </cell>
          <cell r="W351">
            <v>2367890.8128779861</v>
          </cell>
          <cell r="X351">
            <v>0</v>
          </cell>
          <cell r="Y351">
            <v>0</v>
          </cell>
          <cell r="Z351">
            <v>29200</v>
          </cell>
          <cell r="AB351">
            <v>368682.64550752158</v>
          </cell>
          <cell r="AC351">
            <v>0</v>
          </cell>
          <cell r="AD351">
            <v>0</v>
          </cell>
          <cell r="AE351">
            <v>14600</v>
          </cell>
          <cell r="AH351">
            <v>86</v>
          </cell>
          <cell r="AI351">
            <v>84</v>
          </cell>
          <cell r="AJ351">
            <v>1</v>
          </cell>
          <cell r="AK351">
            <v>3.6868264550752156E-3</v>
          </cell>
          <cell r="AL351">
            <v>0</v>
          </cell>
          <cell r="AM351">
            <v>6.9388939039072284E-18</v>
          </cell>
          <cell r="AN351">
            <v>2.6767423929216494E-3</v>
          </cell>
          <cell r="AO351">
            <v>5.5639683205990081E-3</v>
          </cell>
          <cell r="AP351">
            <v>8.6697293395230288E-3</v>
          </cell>
          <cell r="AQ351">
            <v>1.2014330911213324E-2</v>
          </cell>
          <cell r="AR351">
            <v>1.56199726477338E-2</v>
          </cell>
          <cell r="AS351">
            <v>1.9499632693370249E-2</v>
          </cell>
          <cell r="AT351">
            <v>2.367890812877986E-2</v>
          </cell>
          <cell r="AU351">
            <v>2.8185798789255177E-2</v>
          </cell>
          <cell r="AW351">
            <v>0</v>
          </cell>
          <cell r="AY351">
            <v>0</v>
          </cell>
          <cell r="AZ351">
            <v>0</v>
          </cell>
          <cell r="BA351">
            <v>1</v>
          </cell>
          <cell r="BC351">
            <v>0.13151876616040714</v>
          </cell>
          <cell r="BD351">
            <v>0.1643984577005089</v>
          </cell>
          <cell r="BE351">
            <v>0.23385032089825603</v>
          </cell>
          <cell r="BF351">
            <v>0.33807736227807361</v>
          </cell>
          <cell r="BG351">
            <v>0.48141617291056715</v>
          </cell>
          <cell r="BH351">
            <v>0.66829482243254312</v>
          </cell>
          <cell r="BI351">
            <v>0.90404608835077249</v>
          </cell>
          <cell r="BJ351">
            <v>1.1947088679254034</v>
          </cell>
          <cell r="BL351">
            <v>66829.482243254315</v>
          </cell>
        </row>
        <row r="352">
          <cell r="A352">
            <v>10001654</v>
          </cell>
          <cell r="B352" t="str">
            <v/>
          </cell>
          <cell r="C352" t="str">
            <v>LSPL</v>
          </cell>
          <cell r="D352" t="str">
            <v>RPH</v>
          </cell>
          <cell r="E352">
            <v>24</v>
          </cell>
          <cell r="F352" t="str">
            <v>F</v>
          </cell>
          <cell r="G352">
            <v>35305</v>
          </cell>
          <cell r="H352">
            <v>1</v>
          </cell>
          <cell r="I352">
            <v>180000000</v>
          </cell>
          <cell r="J352">
            <v>936700</v>
          </cell>
          <cell r="K352">
            <v>936700</v>
          </cell>
          <cell r="L352">
            <v>936700</v>
          </cell>
          <cell r="M352">
            <v>20</v>
          </cell>
          <cell r="N352">
            <v>61</v>
          </cell>
          <cell r="O352">
            <v>180000000</v>
          </cell>
          <cell r="P352">
            <v>433800</v>
          </cell>
          <cell r="Q352">
            <v>0</v>
          </cell>
          <cell r="R352">
            <v>0</v>
          </cell>
          <cell r="T352">
            <v>25500</v>
          </cell>
          <cell r="U352">
            <v>25500</v>
          </cell>
          <cell r="W352">
            <v>4262203.4631803753</v>
          </cell>
          <cell r="X352">
            <v>433800</v>
          </cell>
          <cell r="Y352">
            <v>0</v>
          </cell>
          <cell r="Z352">
            <v>51000</v>
          </cell>
          <cell r="AB352">
            <v>663628.76191353879</v>
          </cell>
          <cell r="AC352">
            <v>433800</v>
          </cell>
          <cell r="AD352">
            <v>0</v>
          </cell>
          <cell r="AE352">
            <v>25500</v>
          </cell>
          <cell r="AH352">
            <v>86</v>
          </cell>
          <cell r="AI352">
            <v>84</v>
          </cell>
          <cell r="AJ352">
            <v>1</v>
          </cell>
          <cell r="AK352">
            <v>3.6868264550752156E-3</v>
          </cell>
          <cell r="AL352">
            <v>0</v>
          </cell>
          <cell r="AM352">
            <v>6.9388939039072284E-18</v>
          </cell>
          <cell r="AN352">
            <v>2.6767423929216494E-3</v>
          </cell>
          <cell r="AO352">
            <v>5.5639683205990081E-3</v>
          </cell>
          <cell r="AP352">
            <v>8.6697293395230288E-3</v>
          </cell>
          <cell r="AQ352">
            <v>1.2014330911213324E-2</v>
          </cell>
          <cell r="AR352">
            <v>1.56199726477338E-2</v>
          </cell>
          <cell r="AS352">
            <v>1.9499632693370249E-2</v>
          </cell>
          <cell r="AT352">
            <v>2.367890812877986E-2</v>
          </cell>
          <cell r="AU352">
            <v>2.8185798789255177E-2</v>
          </cell>
          <cell r="AW352">
            <v>0</v>
          </cell>
          <cell r="AY352">
            <v>1</v>
          </cell>
          <cell r="AZ352">
            <v>0</v>
          </cell>
          <cell r="BA352">
            <v>1</v>
          </cell>
          <cell r="BC352">
            <v>0.13151876616040714</v>
          </cell>
          <cell r="BD352">
            <v>0.1643984577005089</v>
          </cell>
          <cell r="BE352">
            <v>0.23385032089825603</v>
          </cell>
          <cell r="BF352">
            <v>0.33807736227807361</v>
          </cell>
          <cell r="BG352">
            <v>0.48141617291056715</v>
          </cell>
          <cell r="BH352">
            <v>0.66829482243254312</v>
          </cell>
          <cell r="BI352">
            <v>0.90404608835077249</v>
          </cell>
          <cell r="BJ352">
            <v>1.1947088679254034</v>
          </cell>
          <cell r="BL352">
            <v>120293.06803785775</v>
          </cell>
        </row>
        <row r="353">
          <cell r="A353">
            <v>10001661</v>
          </cell>
          <cell r="B353" t="str">
            <v/>
          </cell>
          <cell r="C353" t="str">
            <v>LSPL</v>
          </cell>
          <cell r="D353" t="str">
            <v>RPH</v>
          </cell>
          <cell r="E353">
            <v>39</v>
          </cell>
          <cell r="F353" t="str">
            <v>M</v>
          </cell>
          <cell r="G353">
            <v>35305</v>
          </cell>
          <cell r="H353">
            <v>2</v>
          </cell>
          <cell r="I353">
            <v>100000000</v>
          </cell>
          <cell r="J353">
            <v>681200</v>
          </cell>
          <cell r="K353">
            <v>681200</v>
          </cell>
          <cell r="L353">
            <v>1362400</v>
          </cell>
          <cell r="M353">
            <v>20</v>
          </cell>
          <cell r="N353">
            <v>46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T353">
            <v>32700</v>
          </cell>
          <cell r="U353">
            <v>65400</v>
          </cell>
          <cell r="W353">
            <v>6262598.8909912333</v>
          </cell>
          <cell r="X353">
            <v>0</v>
          </cell>
          <cell r="Y353">
            <v>0</v>
          </cell>
          <cell r="Z353">
            <v>130800</v>
          </cell>
          <cell r="AB353">
            <v>1032666.1652089328</v>
          </cell>
          <cell r="AC353">
            <v>0</v>
          </cell>
          <cell r="AD353">
            <v>0</v>
          </cell>
          <cell r="AE353">
            <v>65400</v>
          </cell>
          <cell r="AH353">
            <v>86</v>
          </cell>
          <cell r="AI353">
            <v>84</v>
          </cell>
          <cell r="AJ353">
            <v>1</v>
          </cell>
          <cell r="AK353">
            <v>1.0326661652089328E-2</v>
          </cell>
          <cell r="AL353">
            <v>0</v>
          </cell>
          <cell r="AM353">
            <v>0</v>
          </cell>
          <cell r="AN353">
            <v>8.1316759801147165E-3</v>
          </cell>
          <cell r="AO353">
            <v>1.6756896605493288E-2</v>
          </cell>
          <cell r="AP353">
            <v>2.5907194191214344E-2</v>
          </cell>
          <cell r="AQ353">
            <v>3.5608404740304453E-2</v>
          </cell>
          <cell r="AR353">
            <v>4.5899804513432937E-2</v>
          </cell>
          <cell r="AS353">
            <v>5.6825633366241621E-2</v>
          </cell>
          <cell r="AT353">
            <v>6.8426344453583046E-2</v>
          </cell>
          <cell r="AU353">
            <v>8.0757364882985752E-2</v>
          </cell>
          <cell r="AW353">
            <v>0</v>
          </cell>
          <cell r="AY353">
            <v>0</v>
          </cell>
          <cell r="AZ353">
            <v>0</v>
          </cell>
          <cell r="BA353">
            <v>1</v>
          </cell>
          <cell r="BC353">
            <v>0.29046883359110875</v>
          </cell>
          <cell r="BD353">
            <v>0.36308604198888594</v>
          </cell>
          <cell r="BE353">
            <v>0.58358118450562246</v>
          </cell>
          <cell r="BF353">
            <v>0.90968294226468926</v>
          </cell>
          <cell r="BG353">
            <v>1.3517032690449255</v>
          </cell>
          <cell r="BH353">
            <v>1.9211159778883737</v>
          </cell>
          <cell r="BI353">
            <v>2.6302834282505394</v>
          </cell>
          <cell r="BJ353">
            <v>3.4933999164437664</v>
          </cell>
          <cell r="BL353">
            <v>192111.59778883736</v>
          </cell>
        </row>
        <row r="354">
          <cell r="A354">
            <v>10001680</v>
          </cell>
          <cell r="B354" t="str">
            <v/>
          </cell>
          <cell r="C354" t="str">
            <v>LSPL</v>
          </cell>
          <cell r="D354" t="str">
            <v>RPH</v>
          </cell>
          <cell r="E354">
            <v>28</v>
          </cell>
          <cell r="F354" t="str">
            <v>M</v>
          </cell>
          <cell r="G354">
            <v>35335</v>
          </cell>
          <cell r="H354">
            <v>2</v>
          </cell>
          <cell r="I354">
            <v>234889000</v>
          </cell>
          <cell r="J354">
            <v>757300</v>
          </cell>
          <cell r="K354">
            <v>757300</v>
          </cell>
          <cell r="L354">
            <v>1514600</v>
          </cell>
          <cell r="M354">
            <v>20</v>
          </cell>
          <cell r="N354">
            <v>57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T354">
            <v>22700</v>
          </cell>
          <cell r="U354">
            <v>45400</v>
          </cell>
          <cell r="W354">
            <v>7721830.0353853758</v>
          </cell>
          <cell r="X354">
            <v>0</v>
          </cell>
          <cell r="Y354">
            <v>0</v>
          </cell>
          <cell r="Z354">
            <v>90800</v>
          </cell>
          <cell r="AB354">
            <v>1241243.8871492879</v>
          </cell>
          <cell r="AC354">
            <v>0</v>
          </cell>
          <cell r="AD354">
            <v>0</v>
          </cell>
          <cell r="AE354">
            <v>45400</v>
          </cell>
          <cell r="AH354">
            <v>85</v>
          </cell>
          <cell r="AI354">
            <v>84</v>
          </cell>
          <cell r="AJ354">
            <v>1</v>
          </cell>
          <cell r="AK354">
            <v>5.2843849101034445E-3</v>
          </cell>
          <cell r="AL354">
            <v>0</v>
          </cell>
          <cell r="AM354">
            <v>1.3877787807814457E-17</v>
          </cell>
          <cell r="AN354">
            <v>4.0469402893103523E-3</v>
          </cell>
          <cell r="AO354">
            <v>8.4359073051450267E-3</v>
          </cell>
          <cell r="AP354">
            <v>1.3178840427390183E-2</v>
          </cell>
          <cell r="AQ354">
            <v>1.8289116265284101E-2</v>
          </cell>
          <cell r="AR354">
            <v>2.3791509725136474E-2</v>
          </cell>
          <cell r="AS354">
            <v>2.9703617568426779E-2</v>
          </cell>
          <cell r="AT354">
            <v>3.6045140656823238E-2</v>
          </cell>
          <cell r="AU354">
            <v>4.2828545092564833E-2</v>
          </cell>
          <cell r="AW354">
            <v>0</v>
          </cell>
          <cell r="AY354">
            <v>0</v>
          </cell>
          <cell r="AZ354">
            <v>0</v>
          </cell>
          <cell r="BA354">
            <v>1</v>
          </cell>
          <cell r="BC354">
            <v>0.18212293987714914</v>
          </cell>
          <cell r="BD354">
            <v>0.22765367484643642</v>
          </cell>
          <cell r="BE354">
            <v>0.33639436440006404</v>
          </cell>
          <cell r="BF354">
            <v>0.49970707248572477</v>
          </cell>
          <cell r="BG354">
            <v>0.72410238230045654</v>
          </cell>
          <cell r="BH354">
            <v>1.0163493776507031</v>
          </cell>
          <cell r="BI354">
            <v>1.3837387330053013</v>
          </cell>
          <cell r="BJ354">
            <v>1.833642330012089</v>
          </cell>
          <cell r="BL354">
            <v>238729.28896699601</v>
          </cell>
        </row>
        <row r="355">
          <cell r="A355">
            <v>10001697</v>
          </cell>
          <cell r="B355" t="str">
            <v/>
          </cell>
          <cell r="C355" t="str">
            <v>LSPL</v>
          </cell>
          <cell r="D355" t="str">
            <v>RPH</v>
          </cell>
          <cell r="E355">
            <v>38</v>
          </cell>
          <cell r="F355" t="str">
            <v>M</v>
          </cell>
          <cell r="G355">
            <v>35309</v>
          </cell>
          <cell r="H355">
            <v>1</v>
          </cell>
          <cell r="I355">
            <v>85000000</v>
          </cell>
          <cell r="J355">
            <v>1054000</v>
          </cell>
          <cell r="K355">
            <v>1054000</v>
          </cell>
          <cell r="L355">
            <v>1054000</v>
          </cell>
          <cell r="M355">
            <v>20</v>
          </cell>
          <cell r="N355">
            <v>47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T355">
            <v>48500</v>
          </cell>
          <cell r="U355">
            <v>48500</v>
          </cell>
          <cell r="W355">
            <v>5513059.9443495981</v>
          </cell>
          <cell r="X355">
            <v>0</v>
          </cell>
          <cell r="Y355">
            <v>0</v>
          </cell>
          <cell r="Z355">
            <v>97000</v>
          </cell>
          <cell r="AB355">
            <v>824843.65539304342</v>
          </cell>
          <cell r="AC355">
            <v>0</v>
          </cell>
          <cell r="AD355">
            <v>0</v>
          </cell>
          <cell r="AE355">
            <v>48500</v>
          </cell>
          <cell r="AH355">
            <v>85</v>
          </cell>
          <cell r="AI355">
            <v>84</v>
          </cell>
          <cell r="AJ355">
            <v>1</v>
          </cell>
          <cell r="AK355">
            <v>9.7040430046240397E-3</v>
          </cell>
          <cell r="AL355">
            <v>0</v>
          </cell>
          <cell r="AM355">
            <v>0</v>
          </cell>
          <cell r="AN355">
            <v>7.6997361097585204E-3</v>
          </cell>
          <cell r="AO355">
            <v>1.5870110081433492E-2</v>
          </cell>
          <cell r="AP355">
            <v>2.4539752818441854E-2</v>
          </cell>
          <cell r="AQ355">
            <v>3.3740916246416008E-2</v>
          </cell>
          <cell r="AR355">
            <v>4.3500311840350261E-2</v>
          </cell>
          <cell r="AS355">
            <v>5.3858106707333056E-2</v>
          </cell>
          <cell r="AT355">
            <v>6.48595287570541E-2</v>
          </cell>
          <cell r="AU355">
            <v>7.6546209814479349E-2</v>
          </cell>
          <cell r="AW355">
            <v>0</v>
          </cell>
          <cell r="AY355">
            <v>0</v>
          </cell>
          <cell r="AZ355">
            <v>0</v>
          </cell>
          <cell r="BA355">
            <v>1</v>
          </cell>
          <cell r="BC355">
            <v>0.28036468454822633</v>
          </cell>
          <cell r="BD355">
            <v>0.35045585568528287</v>
          </cell>
          <cell r="BE355">
            <v>0.55858595202169659</v>
          </cell>
          <cell r="BF355">
            <v>0.86669578266677849</v>
          </cell>
          <cell r="BG355">
            <v>1.2842681334272097</v>
          </cell>
          <cell r="BH355">
            <v>1.8220313416857772</v>
          </cell>
          <cell r="BI355">
            <v>2.4919361459161675</v>
          </cell>
          <cell r="BJ355">
            <v>3.3068439446859066</v>
          </cell>
          <cell r="BL355">
            <v>154872.66404329106</v>
          </cell>
        </row>
        <row r="356">
          <cell r="A356">
            <v>10001698</v>
          </cell>
          <cell r="B356" t="str">
            <v/>
          </cell>
          <cell r="C356" t="str">
            <v>LSPL</v>
          </cell>
          <cell r="D356" t="str">
            <v>RPH</v>
          </cell>
          <cell r="E356">
            <v>29</v>
          </cell>
          <cell r="F356" t="str">
            <v>M</v>
          </cell>
          <cell r="G356">
            <v>35309</v>
          </cell>
          <cell r="H356">
            <v>1</v>
          </cell>
          <cell r="I356">
            <v>150000000</v>
          </cell>
          <cell r="J356">
            <v>1140000</v>
          </cell>
          <cell r="K356">
            <v>1140000</v>
          </cell>
          <cell r="L356">
            <v>1140000</v>
          </cell>
          <cell r="M356">
            <v>20</v>
          </cell>
          <cell r="N356">
            <v>56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T356">
            <v>35300</v>
          </cell>
          <cell r="U356">
            <v>35300</v>
          </cell>
          <cell r="W356">
            <v>5770986.3332692897</v>
          </cell>
          <cell r="X356">
            <v>0</v>
          </cell>
          <cell r="Y356">
            <v>0</v>
          </cell>
          <cell r="Z356">
            <v>70600</v>
          </cell>
          <cell r="AB356">
            <v>839298.00473413628</v>
          </cell>
          <cell r="AC356">
            <v>0</v>
          </cell>
          <cell r="AD356">
            <v>0</v>
          </cell>
          <cell r="AE356">
            <v>35300</v>
          </cell>
          <cell r="AH356">
            <v>85</v>
          </cell>
          <cell r="AI356">
            <v>84</v>
          </cell>
          <cell r="AJ356">
            <v>1</v>
          </cell>
          <cell r="AK356">
            <v>5.5953200315609084E-3</v>
          </cell>
          <cell r="AL356">
            <v>0</v>
          </cell>
          <cell r="AM356">
            <v>0</v>
          </cell>
          <cell r="AN356">
            <v>4.3565227492124783E-3</v>
          </cell>
          <cell r="AO356">
            <v>9.0638235133670628E-3</v>
          </cell>
          <cell r="AP356">
            <v>1.4134898724586453E-2</v>
          </cell>
          <cell r="AQ356">
            <v>1.9594147030910947E-2</v>
          </cell>
          <cell r="AR356">
            <v>2.5458709452471869E-2</v>
          </cell>
          <cell r="AS356">
            <v>3.1747784830678312E-2</v>
          </cell>
          <cell r="AT356">
            <v>3.8473242221795267E-2</v>
          </cell>
          <cell r="AU356">
            <v>4.5658422327754328E-2</v>
          </cell>
          <cell r="AW356">
            <v>0</v>
          </cell>
          <cell r="AY356">
            <v>0</v>
          </cell>
          <cell r="AZ356">
            <v>0</v>
          </cell>
          <cell r="BA356">
            <v>1</v>
          </cell>
          <cell r="BC356">
            <v>0.19038533502121613</v>
          </cell>
          <cell r="BD356">
            <v>0.23798166877652016</v>
          </cell>
          <cell r="BE356">
            <v>0.35490664237593661</v>
          </cell>
          <cell r="BF356">
            <v>0.53037238450196234</v>
          </cell>
          <cell r="BG356">
            <v>0.77095687325163209</v>
          </cell>
          <cell r="BH356">
            <v>1.0837330388277429</v>
          </cell>
          <cell r="BI356">
            <v>1.4758747842606401</v>
          </cell>
          <cell r="BJ356">
            <v>1.9554813652990244</v>
          </cell>
          <cell r="BL356">
            <v>162559.95582416144</v>
          </cell>
        </row>
        <row r="357">
          <cell r="A357">
            <v>10001699</v>
          </cell>
          <cell r="B357" t="str">
            <v/>
          </cell>
          <cell r="C357" t="str">
            <v>LSPL</v>
          </cell>
          <cell r="D357" t="str">
            <v>RPH</v>
          </cell>
          <cell r="E357">
            <v>30</v>
          </cell>
          <cell r="F357" t="str">
            <v>M</v>
          </cell>
          <cell r="G357">
            <v>35309</v>
          </cell>
          <cell r="H357">
            <v>1</v>
          </cell>
          <cell r="I357">
            <v>500000000</v>
          </cell>
          <cell r="J357">
            <v>3450000</v>
          </cell>
          <cell r="K357">
            <v>3450000</v>
          </cell>
          <cell r="L357">
            <v>3450000</v>
          </cell>
          <cell r="M357">
            <v>20</v>
          </cell>
          <cell r="N357">
            <v>55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T357">
            <v>110400</v>
          </cell>
          <cell r="U357">
            <v>110400</v>
          </cell>
          <cell r="W357">
            <v>20496863.05356653</v>
          </cell>
          <cell r="X357">
            <v>0</v>
          </cell>
          <cell r="Y357">
            <v>0</v>
          </cell>
          <cell r="Z357">
            <v>220800</v>
          </cell>
          <cell r="AB357">
            <v>2966400.8932327908</v>
          </cell>
          <cell r="AC357">
            <v>0</v>
          </cell>
          <cell r="AD357">
            <v>0</v>
          </cell>
          <cell r="AE357">
            <v>110400</v>
          </cell>
          <cell r="AH357">
            <v>85</v>
          </cell>
          <cell r="AI357">
            <v>84</v>
          </cell>
          <cell r="AJ357">
            <v>1</v>
          </cell>
          <cell r="AK357">
            <v>5.9328017864655816E-3</v>
          </cell>
          <cell r="AL357">
            <v>0</v>
          </cell>
          <cell r="AM357">
            <v>6.9388939039072284E-18</v>
          </cell>
          <cell r="AN357">
            <v>4.6751692519008542E-3</v>
          </cell>
          <cell r="AO357">
            <v>9.7108477170502333E-3</v>
          </cell>
          <cell r="AP357">
            <v>1.5131083571797189E-2</v>
          </cell>
          <cell r="AQ357">
            <v>2.0952587845589919E-2</v>
          </cell>
          <cell r="AR357">
            <v>2.7194085865268162E-2</v>
          </cell>
          <cell r="AS357">
            <v>3.3866878698971398E-2</v>
          </cell>
          <cell r="AT357">
            <v>4.0993726107133061E-2</v>
          </cell>
          <cell r="AU357">
            <v>4.8600163843122018E-2</v>
          </cell>
          <cell r="AW357">
            <v>0</v>
          </cell>
          <cell r="AY357">
            <v>0</v>
          </cell>
          <cell r="AZ357">
            <v>0</v>
          </cell>
          <cell r="BA357">
            <v>1</v>
          </cell>
          <cell r="BC357">
            <v>0.19916295712615442</v>
          </cell>
          <cell r="BD357">
            <v>0.24895369640769302</v>
          </cell>
          <cell r="BE357">
            <v>0.37462322208691795</v>
          </cell>
          <cell r="BF357">
            <v>0.56278017871800523</v>
          </cell>
          <cell r="BG357">
            <v>0.82029274592250911</v>
          </cell>
          <cell r="BH357">
            <v>1.15415171307736</v>
          </cell>
          <cell r="BI357">
            <v>1.5721941569706761</v>
          </cell>
          <cell r="BJ357">
            <v>2.0829566608042196</v>
          </cell>
          <cell r="BL357">
            <v>577075.85653867992</v>
          </cell>
        </row>
        <row r="358">
          <cell r="A358">
            <v>10001701</v>
          </cell>
          <cell r="B358" t="str">
            <v/>
          </cell>
          <cell r="C358" t="str">
            <v>LSPL</v>
          </cell>
          <cell r="D358" t="str">
            <v>RPH</v>
          </cell>
          <cell r="E358">
            <v>26</v>
          </cell>
          <cell r="F358" t="str">
            <v>M</v>
          </cell>
          <cell r="G358">
            <v>35331</v>
          </cell>
          <cell r="H358">
            <v>1</v>
          </cell>
          <cell r="I358">
            <v>100000000</v>
          </cell>
          <cell r="J358">
            <v>660000</v>
          </cell>
          <cell r="K358">
            <v>660000</v>
          </cell>
          <cell r="L358">
            <v>660000</v>
          </cell>
          <cell r="M358">
            <v>20</v>
          </cell>
          <cell r="N358">
            <v>59</v>
          </cell>
          <cell r="O358">
            <v>100000000</v>
          </cell>
          <cell r="P358">
            <v>250000</v>
          </cell>
          <cell r="Q358">
            <v>0</v>
          </cell>
          <cell r="R358">
            <v>0</v>
          </cell>
          <cell r="T358">
            <v>19100</v>
          </cell>
          <cell r="U358">
            <v>19100</v>
          </cell>
          <cell r="W358">
            <v>3146415.4507095297</v>
          </cell>
          <cell r="X358">
            <v>250000</v>
          </cell>
          <cell r="Y358">
            <v>0</v>
          </cell>
          <cell r="Z358">
            <v>38200</v>
          </cell>
          <cell r="AB358">
            <v>473832.32757308852</v>
          </cell>
          <cell r="AC358">
            <v>250000</v>
          </cell>
          <cell r="AD358">
            <v>0</v>
          </cell>
          <cell r="AE358">
            <v>19100</v>
          </cell>
          <cell r="AH358">
            <v>85</v>
          </cell>
          <cell r="AI358">
            <v>84</v>
          </cell>
          <cell r="AJ358">
            <v>1</v>
          </cell>
          <cell r="AK358">
            <v>4.7383232757308852E-3</v>
          </cell>
          <cell r="AL358">
            <v>0</v>
          </cell>
          <cell r="AM358">
            <v>0</v>
          </cell>
          <cell r="AN358">
            <v>3.4606901507043542E-3</v>
          </cell>
          <cell r="AO358">
            <v>7.2492483570213567E-3</v>
          </cell>
          <cell r="AP358">
            <v>1.1366002604179068E-2</v>
          </cell>
          <cell r="AQ358">
            <v>1.5831420194442072E-2</v>
          </cell>
          <cell r="AR358">
            <v>2.0658205151761685E-2</v>
          </cell>
          <cell r="AS358">
            <v>2.5860575261706258E-2</v>
          </cell>
          <cell r="AT358">
            <v>3.1464154507095297E-2</v>
          </cell>
          <cell r="AU358">
            <v>3.7487550261316269E-2</v>
          </cell>
          <cell r="AW358">
            <v>0</v>
          </cell>
          <cell r="AY358">
            <v>1</v>
          </cell>
          <cell r="AZ358">
            <v>0</v>
          </cell>
          <cell r="BA358">
            <v>1</v>
          </cell>
          <cell r="BC358">
            <v>0.16724685847977888</v>
          </cell>
          <cell r="BD358">
            <v>0.20905857309972359</v>
          </cell>
          <cell r="BE358">
            <v>0.30222686806896965</v>
          </cell>
          <cell r="BF358">
            <v>0.44309694421085855</v>
          </cell>
          <cell r="BG358">
            <v>0.6373940836473273</v>
          </cell>
          <cell r="BH358">
            <v>0.89120598911629245</v>
          </cell>
          <cell r="BI358">
            <v>1.2115107640960969</v>
          </cell>
          <cell r="BJ358">
            <v>1.6055017170998658</v>
          </cell>
          <cell r="BL358">
            <v>89120.598911629248</v>
          </cell>
        </row>
        <row r="359">
          <cell r="A359">
            <v>10001711</v>
          </cell>
          <cell r="B359" t="str">
            <v/>
          </cell>
          <cell r="C359" t="str">
            <v>LSPL</v>
          </cell>
          <cell r="D359" t="str">
            <v>RPH</v>
          </cell>
          <cell r="E359">
            <v>45</v>
          </cell>
          <cell r="F359" t="str">
            <v>M</v>
          </cell>
          <cell r="G359">
            <v>35332</v>
          </cell>
          <cell r="H359">
            <v>1</v>
          </cell>
          <cell r="I359">
            <v>100000000</v>
          </cell>
          <cell r="J359">
            <v>1860000</v>
          </cell>
          <cell r="K359">
            <v>1860000</v>
          </cell>
          <cell r="L359">
            <v>1860000</v>
          </cell>
          <cell r="M359">
            <v>20</v>
          </cell>
          <cell r="N359">
            <v>40</v>
          </cell>
          <cell r="O359">
            <v>100000000</v>
          </cell>
          <cell r="P359">
            <v>250000</v>
          </cell>
          <cell r="Q359">
            <v>0</v>
          </cell>
          <cell r="R359">
            <v>0</v>
          </cell>
          <cell r="T359">
            <v>135800</v>
          </cell>
          <cell r="U359">
            <v>135800</v>
          </cell>
          <cell r="W359">
            <v>9391460.2978413217</v>
          </cell>
          <cell r="X359">
            <v>250000</v>
          </cell>
          <cell r="Y359">
            <v>0</v>
          </cell>
          <cell r="Z359">
            <v>271600</v>
          </cell>
          <cell r="AB359">
            <v>1493786.6462753108</v>
          </cell>
          <cell r="AC359">
            <v>250000</v>
          </cell>
          <cell r="AD359">
            <v>0</v>
          </cell>
          <cell r="AE359">
            <v>135800</v>
          </cell>
          <cell r="AH359">
            <v>85</v>
          </cell>
          <cell r="AI359">
            <v>84</v>
          </cell>
          <cell r="AJ359">
            <v>1</v>
          </cell>
          <cell r="AK359">
            <v>1.4937866462753108E-2</v>
          </cell>
          <cell r="AL359">
            <v>0</v>
          </cell>
          <cell r="AM359">
            <v>0</v>
          </cell>
          <cell r="AN359">
            <v>1.1219719407768725E-2</v>
          </cell>
          <cell r="AO359">
            <v>2.310956449050125E-2</v>
          </cell>
          <cell r="AP359">
            <v>3.5714917798303103E-2</v>
          </cell>
          <cell r="AQ359">
            <v>4.9068517467390577E-2</v>
          </cell>
          <cell r="AR359">
            <v>6.3209424455041907E-2</v>
          </cell>
          <cell r="AS359">
            <v>7.8146807239634949E-2</v>
          </cell>
          <cell r="AT359">
            <v>9.3914602978413211E-2</v>
          </cell>
          <cell r="AU359">
            <v>0.11052831520872704</v>
          </cell>
          <cell r="AW359">
            <v>0</v>
          </cell>
          <cell r="AY359">
            <v>1</v>
          </cell>
          <cell r="AZ359">
            <v>0</v>
          </cell>
          <cell r="BA359">
            <v>1</v>
          </cell>
          <cell r="BC359">
            <v>0.35063782040812275</v>
          </cell>
          <cell r="BD359">
            <v>0.43829727551015341</v>
          </cell>
          <cell r="BE359">
            <v>0.74943535463840871</v>
          </cell>
          <cell r="BF359">
            <v>1.2093884909663419</v>
          </cell>
          <cell r="BG359">
            <v>1.8320398520958938</v>
          </cell>
          <cell r="BH359">
            <v>2.6309617660973648</v>
          </cell>
          <cell r="BI359">
            <v>3.6213050903419362</v>
          </cell>
          <cell r="BJ359">
            <v>4.8181291953241834</v>
          </cell>
          <cell r="BL359">
            <v>263096.17660973646</v>
          </cell>
        </row>
        <row r="360">
          <cell r="A360">
            <v>10001721</v>
          </cell>
          <cell r="B360" t="str">
            <v/>
          </cell>
          <cell r="C360" t="str">
            <v>LSPL</v>
          </cell>
          <cell r="D360" t="str">
            <v>RPH</v>
          </cell>
          <cell r="E360">
            <v>33</v>
          </cell>
          <cell r="F360" t="str">
            <v>M</v>
          </cell>
          <cell r="G360">
            <v>35335</v>
          </cell>
          <cell r="H360">
            <v>4</v>
          </cell>
          <cell r="I360">
            <v>150000000</v>
          </cell>
          <cell r="J360">
            <v>425300</v>
          </cell>
          <cell r="K360">
            <v>425300</v>
          </cell>
          <cell r="L360">
            <v>1701200</v>
          </cell>
          <cell r="M360">
            <v>20</v>
          </cell>
          <cell r="N360">
            <v>52</v>
          </cell>
          <cell r="O360">
            <v>150000000</v>
          </cell>
          <cell r="P360">
            <v>397600</v>
          </cell>
          <cell r="Q360">
            <v>0</v>
          </cell>
          <cell r="R360">
            <v>0</v>
          </cell>
          <cell r="T360">
            <v>15300</v>
          </cell>
          <cell r="U360">
            <v>61200</v>
          </cell>
          <cell r="W360">
            <v>6423687.9396631857</v>
          </cell>
          <cell r="X360">
            <v>397600</v>
          </cell>
          <cell r="Y360">
            <v>0</v>
          </cell>
          <cell r="Z360">
            <v>122400</v>
          </cell>
          <cell r="AB360">
            <v>1066811.547398706</v>
          </cell>
          <cell r="AC360">
            <v>397600</v>
          </cell>
          <cell r="AD360">
            <v>0</v>
          </cell>
          <cell r="AE360">
            <v>61200</v>
          </cell>
          <cell r="AH360">
            <v>85</v>
          </cell>
          <cell r="AI360">
            <v>84</v>
          </cell>
          <cell r="AJ360">
            <v>1</v>
          </cell>
          <cell r="AK360">
            <v>7.1120769826580393E-3</v>
          </cell>
          <cell r="AL360">
            <v>0</v>
          </cell>
          <cell r="AM360">
            <v>0</v>
          </cell>
          <cell r="AN360">
            <v>5.7138773596846493E-3</v>
          </cell>
          <cell r="AO360">
            <v>1.1835974297378898E-2</v>
          </cell>
          <cell r="AP360">
            <v>1.8376008234343988E-2</v>
          </cell>
          <cell r="AQ360">
            <v>2.5355147203067786E-2</v>
          </cell>
          <cell r="AR360">
            <v>3.2797170780131876E-2</v>
          </cell>
          <cell r="AS360">
            <v>4.071916564180221E-2</v>
          </cell>
          <cell r="AT360">
            <v>4.9140848132278328E-2</v>
          </cell>
          <cell r="AU360">
            <v>5.8094371124526471E-2</v>
          </cell>
          <cell r="AW360">
            <v>0</v>
          </cell>
          <cell r="AY360">
            <v>1</v>
          </cell>
          <cell r="AZ360">
            <v>0</v>
          </cell>
          <cell r="BA360">
            <v>1</v>
          </cell>
          <cell r="BC360">
            <v>0.22859547026974839</v>
          </cell>
          <cell r="BD360">
            <v>0.28574433783718545</v>
          </cell>
          <cell r="BE360">
            <v>0.43963179624991366</v>
          </cell>
          <cell r="BF360">
            <v>0.66860864247157115</v>
          </cell>
          <cell r="BG360">
            <v>0.98040917920574355</v>
          </cell>
          <cell r="BH360">
            <v>1.3830441539534091</v>
          </cell>
          <cell r="BI360">
            <v>1.8850810620789491</v>
          </cell>
          <cell r="BJ360">
            <v>2.4962600658297007</v>
          </cell>
          <cell r="BL360">
            <v>207456.62309301135</v>
          </cell>
        </row>
        <row r="361">
          <cell r="A361">
            <v>10001727</v>
          </cell>
          <cell r="B361" t="str">
            <v/>
          </cell>
          <cell r="C361" t="str">
            <v>LSPL</v>
          </cell>
          <cell r="D361" t="str">
            <v>RPH</v>
          </cell>
          <cell r="E361">
            <v>24</v>
          </cell>
          <cell r="F361" t="str">
            <v>F</v>
          </cell>
          <cell r="G361">
            <v>35309</v>
          </cell>
          <cell r="H361">
            <v>1</v>
          </cell>
          <cell r="I361">
            <v>230000000</v>
          </cell>
          <cell r="J361">
            <v>1012000</v>
          </cell>
          <cell r="K361">
            <v>1012000</v>
          </cell>
          <cell r="L361">
            <v>1012000</v>
          </cell>
          <cell r="M361">
            <v>20</v>
          </cell>
          <cell r="N361">
            <v>61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T361">
            <v>27300</v>
          </cell>
          <cell r="U361">
            <v>27300</v>
          </cell>
          <cell r="W361">
            <v>5446148.8696193676</v>
          </cell>
          <cell r="X361">
            <v>0</v>
          </cell>
          <cell r="Y361">
            <v>0</v>
          </cell>
          <cell r="Z361">
            <v>54600</v>
          </cell>
          <cell r="AB361">
            <v>847970.08466729964</v>
          </cell>
          <cell r="AC361">
            <v>0</v>
          </cell>
          <cell r="AD361">
            <v>0</v>
          </cell>
          <cell r="AE361">
            <v>27300</v>
          </cell>
          <cell r="AH361">
            <v>85</v>
          </cell>
          <cell r="AI361">
            <v>84</v>
          </cell>
          <cell r="AJ361">
            <v>1</v>
          </cell>
          <cell r="AK361">
            <v>3.6868264550752156E-3</v>
          </cell>
          <cell r="AL361">
            <v>0</v>
          </cell>
          <cell r="AM361">
            <v>6.9388939039072284E-18</v>
          </cell>
          <cell r="AN361">
            <v>2.6767423929216494E-3</v>
          </cell>
          <cell r="AO361">
            <v>5.5639683205990081E-3</v>
          </cell>
          <cell r="AP361">
            <v>8.6697293395230288E-3</v>
          </cell>
          <cell r="AQ361">
            <v>1.2014330911213324E-2</v>
          </cell>
          <cell r="AR361">
            <v>1.56199726477338E-2</v>
          </cell>
          <cell r="AS361">
            <v>1.9499632693370249E-2</v>
          </cell>
          <cell r="AT361">
            <v>2.367890812877986E-2</v>
          </cell>
          <cell r="AU361">
            <v>2.8185798789255177E-2</v>
          </cell>
          <cell r="AW361">
            <v>0</v>
          </cell>
          <cell r="AY361">
            <v>0</v>
          </cell>
          <cell r="AZ361">
            <v>0</v>
          </cell>
          <cell r="BA361">
            <v>1</v>
          </cell>
          <cell r="BC361">
            <v>0.13151876616040714</v>
          </cell>
          <cell r="BD361">
            <v>0.1643984577005089</v>
          </cell>
          <cell r="BE361">
            <v>0.23385032089825603</v>
          </cell>
          <cell r="BF361">
            <v>0.33807736227807361</v>
          </cell>
          <cell r="BG361">
            <v>0.48141617291056715</v>
          </cell>
          <cell r="BH361">
            <v>0.66829482243254312</v>
          </cell>
          <cell r="BI361">
            <v>0.90404608835077249</v>
          </cell>
          <cell r="BJ361">
            <v>1.1947088679254034</v>
          </cell>
          <cell r="BL361">
            <v>153707.80915948492</v>
          </cell>
        </row>
        <row r="362">
          <cell r="A362">
            <v>10001763</v>
          </cell>
          <cell r="B362" t="str">
            <v/>
          </cell>
          <cell r="C362" t="str">
            <v>LSPL</v>
          </cell>
          <cell r="D362" t="str">
            <v>RPH</v>
          </cell>
          <cell r="E362">
            <v>41</v>
          </cell>
          <cell r="F362" t="str">
            <v>M</v>
          </cell>
          <cell r="G362">
            <v>35309</v>
          </cell>
          <cell r="H362">
            <v>1</v>
          </cell>
          <cell r="I362">
            <v>75000000</v>
          </cell>
          <cell r="J362">
            <v>1102500</v>
          </cell>
          <cell r="K362">
            <v>1102500</v>
          </cell>
          <cell r="L362">
            <v>1102500</v>
          </cell>
          <cell r="M362">
            <v>20</v>
          </cell>
          <cell r="N362">
            <v>44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T362">
            <v>61800</v>
          </cell>
          <cell r="U362">
            <v>61800</v>
          </cell>
          <cell r="W362">
            <v>5710416.0927224839</v>
          </cell>
          <cell r="X362">
            <v>0</v>
          </cell>
          <cell r="Y362">
            <v>0</v>
          </cell>
          <cell r="Z362">
            <v>123600</v>
          </cell>
          <cell r="AB362">
            <v>876485.06894704769</v>
          </cell>
          <cell r="AC362">
            <v>0</v>
          </cell>
          <cell r="AD362">
            <v>0</v>
          </cell>
          <cell r="AE362">
            <v>61800</v>
          </cell>
          <cell r="AH362">
            <v>85</v>
          </cell>
          <cell r="AI362">
            <v>84</v>
          </cell>
          <cell r="AJ362">
            <v>1</v>
          </cell>
          <cell r="AK362">
            <v>1.1686467585960637E-2</v>
          </cell>
          <cell r="AL362">
            <v>0</v>
          </cell>
          <cell r="AM362">
            <v>0</v>
          </cell>
          <cell r="AN362">
            <v>9.0618692034418469E-3</v>
          </cell>
          <cell r="AO362">
            <v>1.8660890489119897E-2</v>
          </cell>
          <cell r="AP362">
            <v>2.8834627624557074E-2</v>
          </cell>
          <cell r="AQ362">
            <v>3.9625422025645562E-2</v>
          </cell>
          <cell r="AR362">
            <v>5.1071445477495481E-2</v>
          </cell>
          <cell r="AS362">
            <v>6.3225763712497302E-2</v>
          </cell>
          <cell r="AT362">
            <v>7.6138881236299791E-2</v>
          </cell>
          <cell r="AU362">
            <v>8.9850061614292168E-2</v>
          </cell>
          <cell r="AW362">
            <v>0</v>
          </cell>
          <cell r="AY362">
            <v>0</v>
          </cell>
          <cell r="AZ362">
            <v>0</v>
          </cell>
          <cell r="BA362">
            <v>1</v>
          </cell>
          <cell r="BC362">
            <v>0.31072874764708674</v>
          </cell>
          <cell r="BD362">
            <v>0.38841093455885839</v>
          </cell>
          <cell r="BE362">
            <v>0.63541799029382695</v>
          </cell>
          <cell r="BF362">
            <v>1.0009145521217839</v>
          </cell>
          <cell r="BG362">
            <v>1.4963410347394988</v>
          </cell>
          <cell r="BH362">
            <v>2.1347307104172746</v>
          </cell>
          <cell r="BI362">
            <v>2.9302863965140609</v>
          </cell>
          <cell r="BJ362">
            <v>3.8978589140320818</v>
          </cell>
          <cell r="BL362">
            <v>160104.80328129561</v>
          </cell>
        </row>
        <row r="363">
          <cell r="A363">
            <v>10001786</v>
          </cell>
          <cell r="B363" t="str">
            <v/>
          </cell>
          <cell r="C363" t="str">
            <v>LSPL</v>
          </cell>
          <cell r="D363" t="str">
            <v>RPH</v>
          </cell>
          <cell r="E363">
            <v>31</v>
          </cell>
          <cell r="F363" t="str">
            <v>M</v>
          </cell>
          <cell r="G363">
            <v>35348</v>
          </cell>
          <cell r="H363">
            <v>1</v>
          </cell>
          <cell r="I363">
            <v>125000000</v>
          </cell>
          <cell r="J363">
            <v>1050000</v>
          </cell>
          <cell r="K363">
            <v>1050000</v>
          </cell>
          <cell r="L363">
            <v>1050000</v>
          </cell>
          <cell r="M363">
            <v>20</v>
          </cell>
          <cell r="N363">
            <v>54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T363">
            <v>34700</v>
          </cell>
          <cell r="U363">
            <v>34700</v>
          </cell>
          <cell r="W363">
            <v>5451737.7201509299</v>
          </cell>
          <cell r="X363">
            <v>0</v>
          </cell>
          <cell r="Y363">
            <v>0</v>
          </cell>
          <cell r="Z363">
            <v>69400</v>
          </cell>
          <cell r="AB363">
            <v>787179.06079008186</v>
          </cell>
          <cell r="AC363">
            <v>0</v>
          </cell>
          <cell r="AD363">
            <v>0</v>
          </cell>
          <cell r="AE363">
            <v>34700</v>
          </cell>
          <cell r="AH363">
            <v>84</v>
          </cell>
          <cell r="AI363">
            <v>84</v>
          </cell>
          <cell r="AJ363">
            <v>1</v>
          </cell>
          <cell r="AK363">
            <v>6.2974324863206551E-3</v>
          </cell>
          <cell r="AL363">
            <v>0</v>
          </cell>
          <cell r="AM363">
            <v>0</v>
          </cell>
          <cell r="AN363">
            <v>5.0035580636684784E-3</v>
          </cell>
          <cell r="AO363">
            <v>1.0388336956553425E-2</v>
          </cell>
          <cell r="AP363">
            <v>1.6170638501661186E-2</v>
          </cell>
          <cell r="AQ363">
            <v>2.2368737537356298E-2</v>
          </cell>
          <cell r="AR363">
            <v>2.8993389990586059E-2</v>
          </cell>
          <cell r="AS363">
            <v>3.6066802838897134E-2</v>
          </cell>
          <cell r="AT363">
            <v>4.3613901761207441E-2</v>
          </cell>
          <cell r="AU363">
            <v>5.1653148460340602E-2</v>
          </cell>
          <cell r="AW363">
            <v>0</v>
          </cell>
          <cell r="AY363">
            <v>0</v>
          </cell>
          <cell r="AZ363">
            <v>0</v>
          </cell>
          <cell r="BA363">
            <v>1</v>
          </cell>
          <cell r="BC363">
            <v>0.20846971170588305</v>
          </cell>
          <cell r="BD363">
            <v>0.2605871396323538</v>
          </cell>
          <cell r="BE363">
            <v>0.39535372801958457</v>
          </cell>
          <cell r="BF363">
            <v>0.59674487885485306</v>
          </cell>
          <cell r="BG363">
            <v>0.87158202339835333</v>
          </cell>
          <cell r="BH363">
            <v>1.2274550014953074</v>
          </cell>
          <cell r="BI363">
            <v>1.6726184329396871</v>
          </cell>
          <cell r="BJ363">
            <v>2.2155782728341316</v>
          </cell>
          <cell r="BL363">
            <v>153431.87518691344</v>
          </cell>
        </row>
        <row r="364">
          <cell r="A364">
            <v>10001792</v>
          </cell>
          <cell r="B364" t="str">
            <v/>
          </cell>
          <cell r="C364" t="str">
            <v>LSPL</v>
          </cell>
          <cell r="D364" t="str">
            <v>RPH</v>
          </cell>
          <cell r="E364">
            <v>32</v>
          </cell>
          <cell r="F364" t="str">
            <v>M</v>
          </cell>
          <cell r="G364">
            <v>35353</v>
          </cell>
          <cell r="H364">
            <v>1</v>
          </cell>
          <cell r="I364">
            <v>120000000</v>
          </cell>
          <cell r="J364">
            <v>1056000</v>
          </cell>
          <cell r="K364">
            <v>1056000</v>
          </cell>
          <cell r="L364">
            <v>1056000</v>
          </cell>
          <cell r="M364">
            <v>20</v>
          </cell>
          <cell r="N364">
            <v>53</v>
          </cell>
          <cell r="O364">
            <v>120000000</v>
          </cell>
          <cell r="P364">
            <v>300000</v>
          </cell>
          <cell r="Q364">
            <v>0</v>
          </cell>
          <cell r="R364">
            <v>0</v>
          </cell>
          <cell r="T364">
            <v>37000</v>
          </cell>
          <cell r="U364">
            <v>37000</v>
          </cell>
          <cell r="W364">
            <v>5559907.1644976484</v>
          </cell>
          <cell r="X364">
            <v>300000</v>
          </cell>
          <cell r="Y364">
            <v>0</v>
          </cell>
          <cell r="Z364">
            <v>74000</v>
          </cell>
          <cell r="AB364">
            <v>802788.79434741545</v>
          </cell>
          <cell r="AC364">
            <v>300000</v>
          </cell>
          <cell r="AD364">
            <v>0</v>
          </cell>
          <cell r="AE364">
            <v>37000</v>
          </cell>
          <cell r="AH364">
            <v>84</v>
          </cell>
          <cell r="AI364">
            <v>84</v>
          </cell>
          <cell r="AJ364">
            <v>1</v>
          </cell>
          <cell r="AK364">
            <v>6.6899066195617958E-3</v>
          </cell>
          <cell r="AL364">
            <v>0</v>
          </cell>
          <cell r="AM364">
            <v>0</v>
          </cell>
          <cell r="AN364">
            <v>5.352435464478042E-3</v>
          </cell>
          <cell r="AO364">
            <v>1.1098905628141087E-2</v>
          </cell>
          <cell r="AP364">
            <v>1.7257253590287069E-2</v>
          </cell>
          <cell r="AQ364">
            <v>2.3837708111554064E-2</v>
          </cell>
          <cell r="AR364">
            <v>3.0861946303211263E-2</v>
          </cell>
          <cell r="AS364">
            <v>3.8354309234571331E-2</v>
          </cell>
          <cell r="AT364">
            <v>4.6332559704147069E-2</v>
          </cell>
          <cell r="AU364">
            <v>5.4817162354258604E-2</v>
          </cell>
          <cell r="AW364">
            <v>0</v>
          </cell>
          <cell r="AY364">
            <v>1</v>
          </cell>
          <cell r="AZ364">
            <v>0</v>
          </cell>
          <cell r="BA364">
            <v>1</v>
          </cell>
          <cell r="BC364">
            <v>0.21828614938816021</v>
          </cell>
          <cell r="BD364">
            <v>0.27285768673520022</v>
          </cell>
          <cell r="BE364">
            <v>0.41710653837050449</v>
          </cell>
          <cell r="BF364">
            <v>0.63200739617239243</v>
          </cell>
          <cell r="BG364">
            <v>0.92491627066506665</v>
          </cell>
          <cell r="BH364">
            <v>1.3038207896808134</v>
          </cell>
          <cell r="BI364">
            <v>1.7769714534830221</v>
          </cell>
          <cell r="BJ364">
            <v>2.3532137420334638</v>
          </cell>
          <cell r="BL364">
            <v>156458.49476169763</v>
          </cell>
        </row>
        <row r="365">
          <cell r="A365">
            <v>10001805</v>
          </cell>
          <cell r="B365" t="str">
            <v/>
          </cell>
          <cell r="C365" t="str">
            <v>LSPL</v>
          </cell>
          <cell r="D365" t="str">
            <v>RPH</v>
          </cell>
          <cell r="E365">
            <v>42</v>
          </cell>
          <cell r="F365" t="str">
            <v>F</v>
          </cell>
          <cell r="G365">
            <v>35366</v>
          </cell>
          <cell r="H365">
            <v>1</v>
          </cell>
          <cell r="I365">
            <v>200000000</v>
          </cell>
          <cell r="J365">
            <v>2660000</v>
          </cell>
          <cell r="K365">
            <v>2660000</v>
          </cell>
          <cell r="L365">
            <v>2660000</v>
          </cell>
          <cell r="M365">
            <v>20</v>
          </cell>
          <cell r="N365">
            <v>43</v>
          </cell>
          <cell r="O365">
            <v>200000000</v>
          </cell>
          <cell r="P365">
            <v>500000</v>
          </cell>
          <cell r="Q365">
            <v>0</v>
          </cell>
          <cell r="R365">
            <v>0</v>
          </cell>
          <cell r="T365">
            <v>157000</v>
          </cell>
          <cell r="U365">
            <v>157000</v>
          </cell>
          <cell r="W365">
            <v>13004079.596685866</v>
          </cell>
          <cell r="X365">
            <v>500000</v>
          </cell>
          <cell r="Y365">
            <v>0</v>
          </cell>
          <cell r="Z365">
            <v>314000</v>
          </cell>
          <cell r="AB365">
            <v>2084893.2546385028</v>
          </cell>
          <cell r="AC365">
            <v>500000</v>
          </cell>
          <cell r="AD365">
            <v>0</v>
          </cell>
          <cell r="AE365">
            <v>157000</v>
          </cell>
          <cell r="AH365">
            <v>84</v>
          </cell>
          <cell r="AI365">
            <v>84</v>
          </cell>
          <cell r="AJ365">
            <v>1</v>
          </cell>
          <cell r="AK365">
            <v>1.0424466273192514E-2</v>
          </cell>
          <cell r="AL365">
            <v>0</v>
          </cell>
          <cell r="AM365">
            <v>1.3877787807814457E-17</v>
          </cell>
          <cell r="AN365">
            <v>7.7110448829491168E-3</v>
          </cell>
          <cell r="AO365">
            <v>1.587450670873411E-2</v>
          </cell>
          <cell r="AP365">
            <v>2.4537724199110725E-2</v>
          </cell>
          <cell r="AQ365">
            <v>3.3752945894904865E-2</v>
          </cell>
          <cell r="AR365">
            <v>4.3544699397271916E-2</v>
          </cell>
          <cell r="AS365">
            <v>5.3952353103997985E-2</v>
          </cell>
          <cell r="AT365">
            <v>6.5020397983429332E-2</v>
          </cell>
          <cell r="AU365">
            <v>7.6788415295755197E-2</v>
          </cell>
          <cell r="AW365">
            <v>0</v>
          </cell>
          <cell r="AY365">
            <v>1</v>
          </cell>
          <cell r="AZ365">
            <v>0</v>
          </cell>
          <cell r="BA365">
            <v>1</v>
          </cell>
          <cell r="BC365">
            <v>0.2647459265319887</v>
          </cell>
          <cell r="BD365">
            <v>0.33093240816498587</v>
          </cell>
          <cell r="BE365">
            <v>0.53787056751288109</v>
          </cell>
          <cell r="BF365">
            <v>0.84482267228388586</v>
          </cell>
          <cell r="BG365">
            <v>1.2614314543186755</v>
          </cell>
          <cell r="BH365">
            <v>1.7985878336595496</v>
          </cell>
          <cell r="BI365">
            <v>2.4683789612557683</v>
          </cell>
          <cell r="BJ365">
            <v>3.283700483540561</v>
          </cell>
          <cell r="BL365">
            <v>359717.56673190993</v>
          </cell>
        </row>
        <row r="366">
          <cell r="A366">
            <v>10001812</v>
          </cell>
          <cell r="B366" t="str">
            <v/>
          </cell>
          <cell r="C366" t="str">
            <v>LSPL</v>
          </cell>
          <cell r="D366" t="str">
            <v>RPH</v>
          </cell>
          <cell r="E366">
            <v>29</v>
          </cell>
          <cell r="F366" t="str">
            <v>M</v>
          </cell>
          <cell r="G366">
            <v>35371</v>
          </cell>
          <cell r="H366">
            <v>1</v>
          </cell>
          <cell r="I366">
            <v>250000000</v>
          </cell>
          <cell r="J366">
            <v>1650000</v>
          </cell>
          <cell r="K366">
            <v>1650000</v>
          </cell>
          <cell r="L366">
            <v>1650000</v>
          </cell>
          <cell r="M366">
            <v>20</v>
          </cell>
          <cell r="N366">
            <v>56</v>
          </cell>
          <cell r="O366">
            <v>250000000</v>
          </cell>
          <cell r="P366">
            <v>375000</v>
          </cell>
          <cell r="Q366">
            <v>0</v>
          </cell>
          <cell r="R366">
            <v>0</v>
          </cell>
          <cell r="T366">
            <v>51100</v>
          </cell>
          <cell r="U366">
            <v>51100</v>
          </cell>
          <cell r="W366">
            <v>7936946.2076695776</v>
          </cell>
          <cell r="X366">
            <v>375000</v>
          </cell>
          <cell r="Y366">
            <v>0</v>
          </cell>
          <cell r="Z366">
            <v>102200</v>
          </cell>
          <cell r="AB366">
            <v>1398830.007890227</v>
          </cell>
          <cell r="AC366">
            <v>375000</v>
          </cell>
          <cell r="AD366">
            <v>0</v>
          </cell>
          <cell r="AE366">
            <v>51100</v>
          </cell>
          <cell r="AH366">
            <v>83</v>
          </cell>
          <cell r="AI366">
            <v>72</v>
          </cell>
          <cell r="AJ366">
            <v>1</v>
          </cell>
          <cell r="AK366">
            <v>5.5953200315609084E-3</v>
          </cell>
          <cell r="AL366">
            <v>0</v>
          </cell>
          <cell r="AM366">
            <v>0</v>
          </cell>
          <cell r="AN366">
            <v>4.3565227492124783E-3</v>
          </cell>
          <cell r="AO366">
            <v>9.0638235133670628E-3</v>
          </cell>
          <cell r="AP366">
            <v>1.4134898724586453E-2</v>
          </cell>
          <cell r="AQ366">
            <v>1.9594147030910947E-2</v>
          </cell>
          <cell r="AR366">
            <v>2.5458709452471869E-2</v>
          </cell>
          <cell r="AS366">
            <v>3.1747784830678312E-2</v>
          </cell>
          <cell r="AT366">
            <v>3.8473242221795267E-2</v>
          </cell>
          <cell r="AU366">
            <v>4.5658422327754328E-2</v>
          </cell>
          <cell r="AW366">
            <v>0</v>
          </cell>
          <cell r="AY366">
            <v>1</v>
          </cell>
          <cell r="AZ366">
            <v>0</v>
          </cell>
          <cell r="BA366">
            <v>1</v>
          </cell>
          <cell r="BC366">
            <v>0.19038533502121613</v>
          </cell>
          <cell r="BD366">
            <v>0.23798166877652016</v>
          </cell>
          <cell r="BE366">
            <v>0.35490664237593661</v>
          </cell>
          <cell r="BF366">
            <v>0.53037238450196234</v>
          </cell>
          <cell r="BG366">
            <v>0.77095687325163209</v>
          </cell>
          <cell r="BH366">
            <v>1.0837330388277429</v>
          </cell>
          <cell r="BI366">
            <v>1.4758747842606401</v>
          </cell>
          <cell r="BJ366">
            <v>1.9554813652990244</v>
          </cell>
          <cell r="BL366">
            <v>192739.21831290802</v>
          </cell>
        </row>
        <row r="367">
          <cell r="A367">
            <v>10001820</v>
          </cell>
          <cell r="B367" t="str">
            <v/>
          </cell>
          <cell r="C367" t="str">
            <v>LSPL</v>
          </cell>
          <cell r="D367" t="str">
            <v>RPH</v>
          </cell>
          <cell r="E367">
            <v>33</v>
          </cell>
          <cell r="F367" t="str">
            <v>F</v>
          </cell>
          <cell r="G367">
            <v>35366</v>
          </cell>
          <cell r="H367">
            <v>1</v>
          </cell>
          <cell r="I367">
            <v>122000000</v>
          </cell>
          <cell r="J367">
            <v>1000400</v>
          </cell>
          <cell r="K367">
            <v>1000400</v>
          </cell>
          <cell r="L367">
            <v>1000400</v>
          </cell>
          <cell r="M367">
            <v>20</v>
          </cell>
          <cell r="N367">
            <v>52</v>
          </cell>
          <cell r="O367">
            <v>122000000</v>
          </cell>
          <cell r="P367">
            <v>305000</v>
          </cell>
          <cell r="Q367">
            <v>0</v>
          </cell>
          <cell r="R367">
            <v>0</v>
          </cell>
          <cell r="T367">
            <v>36000</v>
          </cell>
          <cell r="U367">
            <v>36000</v>
          </cell>
          <cell r="W367">
            <v>5010018.8392214552</v>
          </cell>
          <cell r="X367">
            <v>305000</v>
          </cell>
          <cell r="Y367">
            <v>0</v>
          </cell>
          <cell r="Z367">
            <v>72000</v>
          </cell>
          <cell r="AB367">
            <v>746079.84274305473</v>
          </cell>
          <cell r="AC367">
            <v>305000</v>
          </cell>
          <cell r="AD367">
            <v>0</v>
          </cell>
          <cell r="AE367">
            <v>36000</v>
          </cell>
          <cell r="AH367">
            <v>84</v>
          </cell>
          <cell r="AI367">
            <v>84</v>
          </cell>
          <cell r="AJ367">
            <v>1</v>
          </cell>
          <cell r="AK367">
            <v>6.1154085470742194E-3</v>
          </cell>
          <cell r="AL367">
            <v>0</v>
          </cell>
          <cell r="AM367">
            <v>1.3877787807814457E-17</v>
          </cell>
          <cell r="AN367">
            <v>4.8232255183581624E-3</v>
          </cell>
          <cell r="AO367">
            <v>9.9876369615811075E-3</v>
          </cell>
          <cell r="AP367">
            <v>1.5491743824258483E-2</v>
          </cell>
          <cell r="AQ367">
            <v>2.1345909765363769E-2</v>
          </cell>
          <cell r="AR367">
            <v>2.7550822700762916E-2</v>
          </cell>
          <cell r="AS367">
            <v>3.4119222144824851E-2</v>
          </cell>
          <cell r="AT367">
            <v>4.1065728190339795E-2</v>
          </cell>
          <cell r="AU367">
            <v>4.8418061162206837E-2</v>
          </cell>
          <cell r="AW367">
            <v>0</v>
          </cell>
          <cell r="AY367">
            <v>1</v>
          </cell>
          <cell r="AZ367">
            <v>0</v>
          </cell>
          <cell r="BA367">
            <v>1</v>
          </cell>
          <cell r="BC367">
            <v>0.19523486594934092</v>
          </cell>
          <cell r="BD367">
            <v>0.24404358243667615</v>
          </cell>
          <cell r="BE367">
            <v>0.37245234616374923</v>
          </cell>
          <cell r="BF367">
            <v>0.56286167155079458</v>
          </cell>
          <cell r="BG367">
            <v>0.82065094405716532</v>
          </cell>
          <cell r="BH367">
            <v>1.1517571950877796</v>
          </cell>
          <cell r="BI367">
            <v>1.5625127968038743</v>
          </cell>
          <cell r="BJ367">
            <v>2.0603116617220563</v>
          </cell>
          <cell r="BL367">
            <v>140514.37780070913</v>
          </cell>
        </row>
        <row r="368">
          <cell r="A368">
            <v>10001839</v>
          </cell>
          <cell r="B368" t="str">
            <v/>
          </cell>
          <cell r="C368" t="str">
            <v>LSPL</v>
          </cell>
          <cell r="D368" t="str">
            <v>RPH</v>
          </cell>
          <cell r="E368">
            <v>30</v>
          </cell>
          <cell r="F368" t="str">
            <v>M</v>
          </cell>
          <cell r="G368">
            <v>35366</v>
          </cell>
          <cell r="H368">
            <v>4</v>
          </cell>
          <cell r="I368">
            <v>130000000</v>
          </cell>
          <cell r="J368">
            <v>272200</v>
          </cell>
          <cell r="K368">
            <v>272200</v>
          </cell>
          <cell r="L368">
            <v>1088800</v>
          </cell>
          <cell r="M368">
            <v>20</v>
          </cell>
          <cell r="N368">
            <v>55</v>
          </cell>
          <cell r="O368">
            <v>130000000</v>
          </cell>
          <cell r="P368">
            <v>344400</v>
          </cell>
          <cell r="Q368">
            <v>0</v>
          </cell>
          <cell r="R368">
            <v>0</v>
          </cell>
          <cell r="T368">
            <v>8700</v>
          </cell>
          <cell r="U368">
            <v>34800</v>
          </cell>
          <cell r="W368">
            <v>4634316.7716315361</v>
          </cell>
          <cell r="X368">
            <v>344400</v>
          </cell>
          <cell r="Y368">
            <v>0</v>
          </cell>
          <cell r="Z368">
            <v>69600</v>
          </cell>
          <cell r="AB368">
            <v>771264.23224052566</v>
          </cell>
          <cell r="AC368">
            <v>344400</v>
          </cell>
          <cell r="AD368">
            <v>0</v>
          </cell>
          <cell r="AE368">
            <v>34800</v>
          </cell>
          <cell r="AH368">
            <v>84</v>
          </cell>
          <cell r="AI368">
            <v>84</v>
          </cell>
          <cell r="AJ368">
            <v>1</v>
          </cell>
          <cell r="AK368">
            <v>5.9328017864655816E-3</v>
          </cell>
          <cell r="AL368">
            <v>0</v>
          </cell>
          <cell r="AM368">
            <v>6.9388939039072284E-18</v>
          </cell>
          <cell r="AN368">
            <v>4.6751692519008542E-3</v>
          </cell>
          <cell r="AO368">
            <v>9.7108477170502333E-3</v>
          </cell>
          <cell r="AP368">
            <v>1.5131083571797189E-2</v>
          </cell>
          <cell r="AQ368">
            <v>2.0952587845589919E-2</v>
          </cell>
          <cell r="AR368">
            <v>2.7194085865268162E-2</v>
          </cell>
          <cell r="AS368">
            <v>3.3866878698971398E-2</v>
          </cell>
          <cell r="AT368">
            <v>4.0993726107133061E-2</v>
          </cell>
          <cell r="AU368">
            <v>4.8600163843122018E-2</v>
          </cell>
          <cell r="AW368">
            <v>0</v>
          </cell>
          <cell r="AY368">
            <v>1</v>
          </cell>
          <cell r="AZ368">
            <v>0</v>
          </cell>
          <cell r="BA368">
            <v>1</v>
          </cell>
          <cell r="BC368">
            <v>0.19916295712615442</v>
          </cell>
          <cell r="BD368">
            <v>0.24895369640769302</v>
          </cell>
          <cell r="BE368">
            <v>0.37462322208691795</v>
          </cell>
          <cell r="BF368">
            <v>0.56278017871800523</v>
          </cell>
          <cell r="BG368">
            <v>0.82029274592250911</v>
          </cell>
          <cell r="BH368">
            <v>1.15415171307736</v>
          </cell>
          <cell r="BI368">
            <v>1.5721941569706761</v>
          </cell>
          <cell r="BJ368">
            <v>2.0829566608042196</v>
          </cell>
          <cell r="BL368">
            <v>150039.72270005679</v>
          </cell>
        </row>
        <row r="369">
          <cell r="A369">
            <v>10001842</v>
          </cell>
          <cell r="B369" t="str">
            <v/>
          </cell>
          <cell r="C369" t="str">
            <v>LSPL</v>
          </cell>
          <cell r="D369" t="str">
            <v>RPH</v>
          </cell>
          <cell r="E369">
            <v>22</v>
          </cell>
          <cell r="F369" t="str">
            <v>F</v>
          </cell>
          <cell r="G369">
            <v>35370</v>
          </cell>
          <cell r="H369">
            <v>1</v>
          </cell>
          <cell r="I369">
            <v>300000000</v>
          </cell>
          <cell r="J369">
            <v>1200000</v>
          </cell>
          <cell r="K369">
            <v>1200000</v>
          </cell>
          <cell r="L369">
            <v>1200000</v>
          </cell>
          <cell r="M369">
            <v>20</v>
          </cell>
          <cell r="N369">
            <v>63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T369">
            <v>32400</v>
          </cell>
          <cell r="U369">
            <v>32400</v>
          </cell>
          <cell r="W369">
            <v>5142365.889888023</v>
          </cell>
          <cell r="X369">
            <v>0</v>
          </cell>
          <cell r="Y369">
            <v>0</v>
          </cell>
          <cell r="Z369">
            <v>64800</v>
          </cell>
          <cell r="AB369">
            <v>998995.33069635602</v>
          </cell>
          <cell r="AC369">
            <v>0</v>
          </cell>
          <cell r="AD369">
            <v>0</v>
          </cell>
          <cell r="AE369">
            <v>32400</v>
          </cell>
          <cell r="AH369">
            <v>83</v>
          </cell>
          <cell r="AI369">
            <v>72</v>
          </cell>
          <cell r="AJ369">
            <v>1</v>
          </cell>
          <cell r="AK369">
            <v>3.3299844356545201E-3</v>
          </cell>
          <cell r="AL369">
            <v>0</v>
          </cell>
          <cell r="AM369">
            <v>0</v>
          </cell>
          <cell r="AN369">
            <v>2.3447030123433799E-3</v>
          </cell>
          <cell r="AO369">
            <v>4.869349032413102E-3</v>
          </cell>
          <cell r="AP369">
            <v>7.6020019738495224E-3</v>
          </cell>
          <cell r="AQ369">
            <v>1.055042477254544E-2</v>
          </cell>
          <cell r="AR369">
            <v>1.3723215342015611E-2</v>
          </cell>
          <cell r="AS369">
            <v>1.7141219632960076E-2</v>
          </cell>
          <cell r="AT369">
            <v>2.0827228167147677E-2</v>
          </cell>
          <cell r="AU369">
            <v>2.479492614319306E-2</v>
          </cell>
          <cell r="AW369">
            <v>0</v>
          </cell>
          <cell r="AY369">
            <v>0</v>
          </cell>
          <cell r="AZ369">
            <v>0</v>
          </cell>
          <cell r="BA369">
            <v>1</v>
          </cell>
          <cell r="BC369">
            <v>0.118033409002179</v>
          </cell>
          <cell r="BD369">
            <v>0.14754176125272372</v>
          </cell>
          <cell r="BE369">
            <v>0.20810704517248885</v>
          </cell>
          <cell r="BF369">
            <v>0.29917028538642298</v>
          </cell>
          <cell r="BG369">
            <v>0.42418878487566264</v>
          </cell>
          <cell r="BH369">
            <v>0.58733383420992336</v>
          </cell>
          <cell r="BI369">
            <v>0.79332971063890034</v>
          </cell>
          <cell r="BJ369">
            <v>1.0469176972835501</v>
          </cell>
          <cell r="BL369">
            <v>127256.63546269879</v>
          </cell>
        </row>
        <row r="370">
          <cell r="A370">
            <v>10001848</v>
          </cell>
          <cell r="B370" t="str">
            <v/>
          </cell>
          <cell r="C370" t="str">
            <v>LSPU</v>
          </cell>
          <cell r="D370" t="str">
            <v>RPH</v>
          </cell>
          <cell r="E370">
            <v>30</v>
          </cell>
          <cell r="F370" t="str">
            <v>M</v>
          </cell>
          <cell r="G370">
            <v>35376</v>
          </cell>
          <cell r="H370">
            <v>1</v>
          </cell>
          <cell r="I370">
            <v>131579000</v>
          </cell>
          <cell r="J370">
            <v>1000000</v>
          </cell>
          <cell r="K370">
            <v>1000000</v>
          </cell>
          <cell r="L370">
            <v>1000000</v>
          </cell>
          <cell r="M370">
            <v>55</v>
          </cell>
          <cell r="N370">
            <v>55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T370">
            <v>0</v>
          </cell>
          <cell r="U370">
            <v>0</v>
          </cell>
          <cell r="W370">
            <v>3427284.9036394884</v>
          </cell>
          <cell r="X370">
            <v>0</v>
          </cell>
          <cell r="Y370">
            <v>0</v>
          </cell>
          <cell r="Z370">
            <v>0</v>
          </cell>
          <cell r="AB370">
            <v>656151.98101051128</v>
          </cell>
          <cell r="AC370">
            <v>0</v>
          </cell>
          <cell r="AD370">
            <v>0</v>
          </cell>
          <cell r="AE370">
            <v>0</v>
          </cell>
          <cell r="AH370">
            <v>83</v>
          </cell>
          <cell r="AI370">
            <v>72</v>
          </cell>
          <cell r="AJ370">
            <v>1</v>
          </cell>
          <cell r="AK370">
            <v>4.9867530609786614E-3</v>
          </cell>
          <cell r="AL370">
            <v>0</v>
          </cell>
          <cell r="AM370">
            <v>6.9388939039072284E-18</v>
          </cell>
          <cell r="AN370">
            <v>3.6421166464302712E-3</v>
          </cell>
          <cell r="AO370">
            <v>7.5495857063465344E-3</v>
          </cell>
          <cell r="AP370">
            <v>1.1737497376268134E-2</v>
          </cell>
          <cell r="AQ370">
            <v>1.6212668947942328E-2</v>
          </cell>
          <cell r="AR370">
            <v>2.0982902888993023E-2</v>
          </cell>
          <cell r="AS370">
            <v>2.6047354848718174E-2</v>
          </cell>
          <cell r="AT370">
            <v>3.1415401972481015E-2</v>
          </cell>
          <cell r="AU370">
            <v>3.709777101278524E-2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C370">
            <v>0.16600152913324806</v>
          </cell>
          <cell r="BD370">
            <v>0.20750191141656005</v>
          </cell>
          <cell r="BE370">
            <v>0.30354472504694802</v>
          </cell>
          <cell r="BF370">
            <v>0.44658518228654498</v>
          </cell>
          <cell r="BG370">
            <v>0.64122536446080336</v>
          </cell>
          <cell r="BH370">
            <v>0.89187484582439935</v>
          </cell>
          <cell r="BI370">
            <v>1.2034322385196004</v>
          </cell>
          <cell r="BJ370">
            <v>1.5810873582721299</v>
          </cell>
          <cell r="BL370">
            <v>84371.792230388048</v>
          </cell>
        </row>
        <row r="371">
          <cell r="A371">
            <v>10001849</v>
          </cell>
          <cell r="B371" t="str">
            <v/>
          </cell>
          <cell r="C371" t="str">
            <v>LSPL</v>
          </cell>
          <cell r="D371" t="str">
            <v>RPH</v>
          </cell>
          <cell r="E371">
            <v>28</v>
          </cell>
          <cell r="F371" t="str">
            <v>F</v>
          </cell>
          <cell r="G371">
            <v>35370</v>
          </cell>
          <cell r="H371">
            <v>1</v>
          </cell>
          <cell r="I371">
            <v>200000000</v>
          </cell>
          <cell r="J371">
            <v>1280000</v>
          </cell>
          <cell r="K371">
            <v>1280000</v>
          </cell>
          <cell r="L371">
            <v>1280000</v>
          </cell>
          <cell r="M371">
            <v>20</v>
          </cell>
          <cell r="N371">
            <v>57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T371">
            <v>38400</v>
          </cell>
          <cell r="U371">
            <v>38400</v>
          </cell>
          <cell r="W371">
            <v>5048315.3887552088</v>
          </cell>
          <cell r="X371">
            <v>0</v>
          </cell>
          <cell r="Y371">
            <v>0</v>
          </cell>
          <cell r="Z371">
            <v>76800</v>
          </cell>
          <cell r="AB371">
            <v>915592.52069803304</v>
          </cell>
          <cell r="AC371">
            <v>0</v>
          </cell>
          <cell r="AD371">
            <v>0</v>
          </cell>
          <cell r="AE371">
            <v>38400</v>
          </cell>
          <cell r="AH371">
            <v>83</v>
          </cell>
          <cell r="AI371">
            <v>72</v>
          </cell>
          <cell r="AJ371">
            <v>1</v>
          </cell>
          <cell r="AK371">
            <v>4.5779626034901655E-3</v>
          </cell>
          <cell r="AL371">
            <v>0</v>
          </cell>
          <cell r="AM371">
            <v>0</v>
          </cell>
          <cell r="AN371">
            <v>3.4772577150156622E-3</v>
          </cell>
          <cell r="AO371">
            <v>7.2160590482018699E-3</v>
          </cell>
          <cell r="AP371">
            <v>1.1240839891887754E-2</v>
          </cell>
          <cell r="AQ371">
            <v>1.5578329886635191E-2</v>
          </cell>
          <cell r="AR371">
            <v>2.0235195345193045E-2</v>
          </cell>
          <cell r="AS371">
            <v>2.5241576943776045E-2</v>
          </cell>
          <cell r="AT371">
            <v>3.0608137014383238E-2</v>
          </cell>
          <cell r="AU371">
            <v>3.6335899621389611E-2</v>
          </cell>
          <cell r="AW371">
            <v>0</v>
          </cell>
          <cell r="AY371">
            <v>0</v>
          </cell>
          <cell r="AZ371">
            <v>0</v>
          </cell>
          <cell r="BA371">
            <v>1</v>
          </cell>
          <cell r="BC371">
            <v>0.15719374006660886</v>
          </cell>
          <cell r="BD371">
            <v>0.19649217508326106</v>
          </cell>
          <cell r="BE371">
            <v>0.28820556150702947</v>
          </cell>
          <cell r="BF371">
            <v>0.4259723735947083</v>
          </cell>
          <cell r="BG371">
            <v>0.61475346977508116</v>
          </cell>
          <cell r="BH371">
            <v>0.86068611875309764</v>
          </cell>
          <cell r="BI371">
            <v>1.1696449072007065</v>
          </cell>
          <cell r="BJ371">
            <v>1.5472454333905881</v>
          </cell>
          <cell r="BL371">
            <v>122950.69395501622</v>
          </cell>
        </row>
        <row r="372">
          <cell r="A372">
            <v>10001852</v>
          </cell>
          <cell r="B372" t="str">
            <v/>
          </cell>
          <cell r="C372" t="str">
            <v>LSPL</v>
          </cell>
          <cell r="D372" t="str">
            <v>RPH</v>
          </cell>
          <cell r="E372">
            <v>46</v>
          </cell>
          <cell r="F372" t="str">
            <v>F</v>
          </cell>
          <cell r="G372">
            <v>35381</v>
          </cell>
          <cell r="H372">
            <v>1</v>
          </cell>
          <cell r="I372">
            <v>63000000</v>
          </cell>
          <cell r="J372">
            <v>1039500</v>
          </cell>
          <cell r="K372">
            <v>1039500</v>
          </cell>
          <cell r="L372">
            <v>1039500</v>
          </cell>
          <cell r="M372">
            <v>20</v>
          </cell>
          <cell r="N372">
            <v>39</v>
          </cell>
          <cell r="O372">
            <v>63000000</v>
          </cell>
          <cell r="P372">
            <v>157500</v>
          </cell>
          <cell r="Q372">
            <v>0</v>
          </cell>
          <cell r="R372">
            <v>0</v>
          </cell>
          <cell r="T372">
            <v>83200</v>
          </cell>
          <cell r="U372">
            <v>83200</v>
          </cell>
          <cell r="W372">
            <v>4186090.6394054312</v>
          </cell>
          <cell r="X372">
            <v>157500</v>
          </cell>
          <cell r="Y372">
            <v>0</v>
          </cell>
          <cell r="Z372">
            <v>166400</v>
          </cell>
          <cell r="AB372">
            <v>825362.4927669348</v>
          </cell>
          <cell r="AC372">
            <v>157500</v>
          </cell>
          <cell r="AD372">
            <v>0</v>
          </cell>
          <cell r="AE372">
            <v>83200</v>
          </cell>
          <cell r="AH372">
            <v>83</v>
          </cell>
          <cell r="AI372">
            <v>72</v>
          </cell>
          <cell r="AJ372">
            <v>1</v>
          </cell>
          <cell r="AK372">
            <v>1.3100991948681504E-2</v>
          </cell>
          <cell r="AL372">
            <v>0</v>
          </cell>
          <cell r="AM372">
            <v>0</v>
          </cell>
          <cell r="AN372">
            <v>9.507392595283215E-3</v>
          </cell>
          <cell r="AO372">
            <v>1.959207753638896E-2</v>
          </cell>
          <cell r="AP372">
            <v>3.0293819242021472E-2</v>
          </cell>
          <cell r="AQ372">
            <v>4.1646537948493351E-2</v>
          </cell>
          <cell r="AR372">
            <v>5.3689392998636995E-2</v>
          </cell>
          <cell r="AS372">
            <v>6.6445883165165573E-2</v>
          </cell>
          <cell r="AT372">
            <v>7.9955729058193231E-2</v>
          </cell>
          <cell r="AU372">
            <v>9.4297151710089719E-2</v>
          </cell>
          <cell r="AW372">
            <v>0</v>
          </cell>
          <cell r="AY372">
            <v>1</v>
          </cell>
          <cell r="AZ372">
            <v>0</v>
          </cell>
          <cell r="BA372">
            <v>1</v>
          </cell>
          <cell r="BC372">
            <v>0.27541366269230727</v>
          </cell>
          <cell r="BD372">
            <v>0.34426707836538412</v>
          </cell>
          <cell r="BE372">
            <v>0.60354528862264234</v>
          </cell>
          <cell r="BF372">
            <v>0.98717602874097787</v>
          </cell>
          <cell r="BG372">
            <v>1.5071005279800234</v>
          </cell>
          <cell r="BH372">
            <v>2.1755233986010611</v>
          </cell>
          <cell r="BI372">
            <v>3.0060640613460547</v>
          </cell>
          <cell r="BJ372">
            <v>4.0154527193675564</v>
          </cell>
          <cell r="BL372">
            <v>94947.333262741478</v>
          </cell>
        </row>
        <row r="373">
          <cell r="A373">
            <v>10001947</v>
          </cell>
          <cell r="B373" t="str">
            <v/>
          </cell>
          <cell r="C373" t="str">
            <v>LSPL</v>
          </cell>
          <cell r="D373" t="str">
            <v>RPH</v>
          </cell>
          <cell r="E373">
            <v>44</v>
          </cell>
          <cell r="F373" t="str">
            <v>F</v>
          </cell>
          <cell r="G373">
            <v>35426</v>
          </cell>
          <cell r="H373">
            <v>1</v>
          </cell>
          <cell r="I373">
            <v>114810000</v>
          </cell>
          <cell r="J373">
            <v>1699200</v>
          </cell>
          <cell r="K373">
            <v>1699200</v>
          </cell>
          <cell r="L373">
            <v>1699200</v>
          </cell>
          <cell r="M373">
            <v>20</v>
          </cell>
          <cell r="N373">
            <v>41</v>
          </cell>
          <cell r="O373">
            <v>114810000</v>
          </cell>
          <cell r="P373">
            <v>287000</v>
          </cell>
          <cell r="Q373">
            <v>0</v>
          </cell>
          <cell r="R373">
            <v>0</v>
          </cell>
          <cell r="T373">
            <v>113800</v>
          </cell>
          <cell r="U373">
            <v>113800</v>
          </cell>
          <cell r="W373">
            <v>6878089.2218492581</v>
          </cell>
          <cell r="X373">
            <v>287000</v>
          </cell>
          <cell r="Y373">
            <v>0</v>
          </cell>
          <cell r="Z373">
            <v>227600</v>
          </cell>
          <cell r="AB373">
            <v>1341765.1620727023</v>
          </cell>
          <cell r="AC373">
            <v>287000</v>
          </cell>
          <cell r="AD373">
            <v>0</v>
          </cell>
          <cell r="AE373">
            <v>113800</v>
          </cell>
          <cell r="AH373">
            <v>82</v>
          </cell>
          <cell r="AI373">
            <v>72</v>
          </cell>
          <cell r="AJ373">
            <v>1</v>
          </cell>
          <cell r="AK373">
            <v>1.168683182712919E-2</v>
          </cell>
          <cell r="AL373">
            <v>0</v>
          </cell>
          <cell r="AM373">
            <v>2.7755575615628914E-17</v>
          </cell>
          <cell r="AN373">
            <v>8.5427998204107708E-3</v>
          </cell>
          <cell r="AO373">
            <v>1.7621737287510764E-2</v>
          </cell>
          <cell r="AP373">
            <v>2.7259188735881471E-2</v>
          </cell>
          <cell r="AQ373">
            <v>3.7492322861061717E-2</v>
          </cell>
          <cell r="AR373">
            <v>4.8363187226967794E-2</v>
          </cell>
          <cell r="AS373">
            <v>5.9908450673715335E-2</v>
          </cell>
          <cell r="AT373">
            <v>7.2170335296671898E-2</v>
          </cell>
          <cell r="AU373">
            <v>8.5176191677886162E-2</v>
          </cell>
          <cell r="AW373">
            <v>0</v>
          </cell>
          <cell r="AY373">
            <v>1</v>
          </cell>
          <cell r="AZ373">
            <v>0</v>
          </cell>
          <cell r="BA373">
            <v>1</v>
          </cell>
          <cell r="BC373">
            <v>0.2786373505237929</v>
          </cell>
          <cell r="BD373">
            <v>0.34829668815474113</v>
          </cell>
          <cell r="BE373">
            <v>0.58011990768729105</v>
          </cell>
          <cell r="BF373">
            <v>0.92340837858589131</v>
          </cell>
          <cell r="BG373">
            <v>1.3892388719832629</v>
          </cell>
          <cell r="BH373">
            <v>1.9894548186028218</v>
          </cell>
          <cell r="BI373">
            <v>2.7370720264274202</v>
          </cell>
          <cell r="BJ373">
            <v>3.6453313108981411</v>
          </cell>
          <cell r="BL373">
            <v>159498.51489239841</v>
          </cell>
        </row>
        <row r="374">
          <cell r="A374">
            <v>10002044</v>
          </cell>
          <cell r="B374" t="str">
            <v/>
          </cell>
          <cell r="C374" t="str">
            <v>LSPL</v>
          </cell>
          <cell r="D374" t="str">
            <v>RPH</v>
          </cell>
          <cell r="E374">
            <v>36</v>
          </cell>
          <cell r="F374" t="str">
            <v>M</v>
          </cell>
          <cell r="G374">
            <v>35490</v>
          </cell>
          <cell r="H374">
            <v>1</v>
          </cell>
          <cell r="I374">
            <v>100000000</v>
          </cell>
          <cell r="J374">
            <v>1100000</v>
          </cell>
          <cell r="K374">
            <v>1100000</v>
          </cell>
          <cell r="L374">
            <v>1100000</v>
          </cell>
          <cell r="M374">
            <v>20</v>
          </cell>
          <cell r="N374">
            <v>49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T374">
            <v>45100</v>
          </cell>
          <cell r="U374">
            <v>45100</v>
          </cell>
          <cell r="W374">
            <v>4830237.6287487792</v>
          </cell>
          <cell r="X374">
            <v>0</v>
          </cell>
          <cell r="Y374">
            <v>0</v>
          </cell>
          <cell r="Z374">
            <v>90200</v>
          </cell>
          <cell r="AB374">
            <v>856692.01974097383</v>
          </cell>
          <cell r="AC374">
            <v>0</v>
          </cell>
          <cell r="AD374">
            <v>0</v>
          </cell>
          <cell r="AE374">
            <v>45100</v>
          </cell>
          <cell r="AH374">
            <v>79</v>
          </cell>
          <cell r="AI374">
            <v>72</v>
          </cell>
          <cell r="AJ374">
            <v>1</v>
          </cell>
          <cell r="AK374">
            <v>8.5669201974097383E-3</v>
          </cell>
          <cell r="AL374">
            <v>0</v>
          </cell>
          <cell r="AM374">
            <v>1.3877787807814457E-17</v>
          </cell>
          <cell r="AN374">
            <v>6.8650369572001158E-3</v>
          </cell>
          <cell r="AO374">
            <v>1.4178832569811756E-2</v>
          </cell>
          <cell r="AP374">
            <v>2.1956544495307803E-2</v>
          </cell>
          <cell r="AQ374">
            <v>3.0215756146925038E-2</v>
          </cell>
          <cell r="AR374">
            <v>3.8986450877325343E-2</v>
          </cell>
          <cell r="AS374">
            <v>4.8302376287487792E-2</v>
          </cell>
          <cell r="AT374">
            <v>5.8192047118425586E-2</v>
          </cell>
          <cell r="AU374">
            <v>6.8697482372227128E-2</v>
          </cell>
          <cell r="AW374">
            <v>0</v>
          </cell>
          <cell r="AY374">
            <v>0</v>
          </cell>
          <cell r="AZ374">
            <v>0</v>
          </cell>
          <cell r="BA374">
            <v>1</v>
          </cell>
          <cell r="BC374">
            <v>0.26035396079201234</v>
          </cell>
          <cell r="BD374">
            <v>0.3254424509900154</v>
          </cell>
          <cell r="BE374">
            <v>0.51076499926717378</v>
          </cell>
          <cell r="BF374">
            <v>0.78523369259151043</v>
          </cell>
          <cell r="BG374">
            <v>1.1575789425551009</v>
          </cell>
          <cell r="BH374">
            <v>1.6374124869819597</v>
          </cell>
          <cell r="BI374">
            <v>2.2349042045939576</v>
          </cell>
          <cell r="BJ374">
            <v>2.9616745989892173</v>
          </cell>
          <cell r="BL374">
            <v>115757.89425551009</v>
          </cell>
        </row>
        <row r="375">
          <cell r="A375">
            <v>10002046</v>
          </cell>
          <cell r="B375" t="str">
            <v/>
          </cell>
          <cell r="C375" t="str">
            <v>LSPL</v>
          </cell>
          <cell r="D375" t="str">
            <v>RPH</v>
          </cell>
          <cell r="E375">
            <v>22</v>
          </cell>
          <cell r="F375" t="str">
            <v>F</v>
          </cell>
          <cell r="G375">
            <v>35497</v>
          </cell>
          <cell r="H375">
            <v>1</v>
          </cell>
          <cell r="I375">
            <v>250000000</v>
          </cell>
          <cell r="J375">
            <v>1000000</v>
          </cell>
          <cell r="K375">
            <v>1000000</v>
          </cell>
          <cell r="L375">
            <v>1000000</v>
          </cell>
          <cell r="M375">
            <v>20</v>
          </cell>
          <cell r="N375">
            <v>63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T375">
            <v>27000</v>
          </cell>
          <cell r="U375">
            <v>27000</v>
          </cell>
          <cell r="W375">
            <v>4285304.9082400193</v>
          </cell>
          <cell r="X375">
            <v>0</v>
          </cell>
          <cell r="Y375">
            <v>0</v>
          </cell>
          <cell r="Z375">
            <v>54000</v>
          </cell>
          <cell r="AB375">
            <v>832496.10891363001</v>
          </cell>
          <cell r="AC375">
            <v>0</v>
          </cell>
          <cell r="AD375">
            <v>0</v>
          </cell>
          <cell r="AE375">
            <v>27000</v>
          </cell>
          <cell r="AH375">
            <v>79</v>
          </cell>
          <cell r="AI375">
            <v>72</v>
          </cell>
          <cell r="AJ375">
            <v>1</v>
          </cell>
          <cell r="AK375">
            <v>3.3299844356545201E-3</v>
          </cell>
          <cell r="AL375">
            <v>0</v>
          </cell>
          <cell r="AM375">
            <v>0</v>
          </cell>
          <cell r="AN375">
            <v>2.3447030123433799E-3</v>
          </cell>
          <cell r="AO375">
            <v>4.869349032413102E-3</v>
          </cell>
          <cell r="AP375">
            <v>7.6020019738495224E-3</v>
          </cell>
          <cell r="AQ375">
            <v>1.055042477254544E-2</v>
          </cell>
          <cell r="AR375">
            <v>1.3723215342015611E-2</v>
          </cell>
          <cell r="AS375">
            <v>1.7141219632960076E-2</v>
          </cell>
          <cell r="AT375">
            <v>2.0827228167147677E-2</v>
          </cell>
          <cell r="AU375">
            <v>2.479492614319306E-2</v>
          </cell>
          <cell r="AW375">
            <v>0</v>
          </cell>
          <cell r="AY375">
            <v>0</v>
          </cell>
          <cell r="AZ375">
            <v>0</v>
          </cell>
          <cell r="BA375">
            <v>1</v>
          </cell>
          <cell r="BC375">
            <v>0.118033409002179</v>
          </cell>
          <cell r="BD375">
            <v>0.14754176125272372</v>
          </cell>
          <cell r="BE375">
            <v>0.20810704517248885</v>
          </cell>
          <cell r="BF375">
            <v>0.29917028538642298</v>
          </cell>
          <cell r="BG375">
            <v>0.42418878487566264</v>
          </cell>
          <cell r="BH375">
            <v>0.58733383420992336</v>
          </cell>
          <cell r="BI375">
            <v>0.79332971063890034</v>
          </cell>
          <cell r="BJ375">
            <v>1.0469176972835501</v>
          </cell>
          <cell r="BL375">
            <v>106047.19621891566</v>
          </cell>
        </row>
        <row r="376">
          <cell r="A376">
            <v>10002047</v>
          </cell>
          <cell r="B376" t="str">
            <v/>
          </cell>
          <cell r="C376" t="str">
            <v>LSPL</v>
          </cell>
          <cell r="D376" t="str">
            <v>RPH</v>
          </cell>
          <cell r="E376">
            <v>28</v>
          </cell>
          <cell r="F376" t="str">
            <v>F</v>
          </cell>
          <cell r="G376">
            <v>35497</v>
          </cell>
          <cell r="H376">
            <v>2</v>
          </cell>
          <cell r="I376">
            <v>180288000</v>
          </cell>
          <cell r="J376">
            <v>600000</v>
          </cell>
          <cell r="K376">
            <v>600000</v>
          </cell>
          <cell r="L376">
            <v>1200000</v>
          </cell>
          <cell r="M376">
            <v>20</v>
          </cell>
          <cell r="N376">
            <v>57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T376">
            <v>0</v>
          </cell>
          <cell r="U376">
            <v>0</v>
          </cell>
          <cell r="W376">
            <v>4550753.4240394952</v>
          </cell>
          <cell r="X376">
            <v>0</v>
          </cell>
          <cell r="Y376">
            <v>0</v>
          </cell>
          <cell r="Z376">
            <v>0</v>
          </cell>
          <cell r="AB376">
            <v>825351.72185803496</v>
          </cell>
          <cell r="AC376">
            <v>0</v>
          </cell>
          <cell r="AD376">
            <v>0</v>
          </cell>
          <cell r="AE376">
            <v>0</v>
          </cell>
          <cell r="AH376">
            <v>79</v>
          </cell>
          <cell r="AI376">
            <v>72</v>
          </cell>
          <cell r="AJ376">
            <v>2</v>
          </cell>
          <cell r="AK376">
            <v>4.5779626034901655E-3</v>
          </cell>
          <cell r="AL376">
            <v>0</v>
          </cell>
          <cell r="AM376">
            <v>0</v>
          </cell>
          <cell r="AN376">
            <v>3.4772577150156622E-3</v>
          </cell>
          <cell r="AO376">
            <v>7.2160590482018699E-3</v>
          </cell>
          <cell r="AP376">
            <v>1.1240839891887754E-2</v>
          </cell>
          <cell r="AQ376">
            <v>1.5578329886635191E-2</v>
          </cell>
          <cell r="AR376">
            <v>2.0235195345193045E-2</v>
          </cell>
          <cell r="AS376">
            <v>2.5241576943776045E-2</v>
          </cell>
          <cell r="AT376">
            <v>3.0608137014383238E-2</v>
          </cell>
          <cell r="AU376">
            <v>3.6335899621389611E-2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C376">
            <v>0.15719374006660886</v>
          </cell>
          <cell r="BD376">
            <v>0.19649217508326106</v>
          </cell>
          <cell r="BE376">
            <v>0.28820556150702947</v>
          </cell>
          <cell r="BF376">
            <v>0.4259723735947083</v>
          </cell>
          <cell r="BG376">
            <v>0.61475346977508116</v>
          </cell>
          <cell r="BH376">
            <v>0.86068611875309764</v>
          </cell>
          <cell r="BI376">
            <v>1.1696449072007065</v>
          </cell>
          <cell r="BJ376">
            <v>1.5472454333905881</v>
          </cell>
          <cell r="BL376">
            <v>110832.67355880984</v>
          </cell>
        </row>
        <row r="377">
          <cell r="A377">
            <v>10002048</v>
          </cell>
          <cell r="B377" t="str">
            <v/>
          </cell>
          <cell r="C377" t="str">
            <v>LSPL</v>
          </cell>
          <cell r="D377" t="str">
            <v>RPH</v>
          </cell>
          <cell r="E377">
            <v>36</v>
          </cell>
          <cell r="F377" t="str">
            <v>M</v>
          </cell>
          <cell r="G377">
            <v>35501</v>
          </cell>
          <cell r="H377">
            <v>1</v>
          </cell>
          <cell r="I377">
            <v>150000000</v>
          </cell>
          <cell r="J377">
            <v>1650000</v>
          </cell>
          <cell r="K377">
            <v>1650000</v>
          </cell>
          <cell r="L377">
            <v>1650000</v>
          </cell>
          <cell r="M377">
            <v>20</v>
          </cell>
          <cell r="N377">
            <v>49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T377">
            <v>67700</v>
          </cell>
          <cell r="U377">
            <v>67700</v>
          </cell>
          <cell r="W377">
            <v>7245356.4431231683</v>
          </cell>
          <cell r="X377">
            <v>0</v>
          </cell>
          <cell r="Y377">
            <v>0</v>
          </cell>
          <cell r="Z377">
            <v>135400</v>
          </cell>
          <cell r="AB377">
            <v>1285038.0296114606</v>
          </cell>
          <cell r="AC377">
            <v>0</v>
          </cell>
          <cell r="AD377">
            <v>0</v>
          </cell>
          <cell r="AE377">
            <v>67700</v>
          </cell>
          <cell r="AH377">
            <v>79</v>
          </cell>
          <cell r="AI377">
            <v>72</v>
          </cell>
          <cell r="AJ377">
            <v>1</v>
          </cell>
          <cell r="AK377">
            <v>8.5669201974097383E-3</v>
          </cell>
          <cell r="AL377">
            <v>0</v>
          </cell>
          <cell r="AM377">
            <v>1.3877787807814457E-17</v>
          </cell>
          <cell r="AN377">
            <v>6.8650369572001158E-3</v>
          </cell>
          <cell r="AO377">
            <v>1.4178832569811756E-2</v>
          </cell>
          <cell r="AP377">
            <v>2.1956544495307803E-2</v>
          </cell>
          <cell r="AQ377">
            <v>3.0215756146925038E-2</v>
          </cell>
          <cell r="AR377">
            <v>3.8986450877325343E-2</v>
          </cell>
          <cell r="AS377">
            <v>4.8302376287487792E-2</v>
          </cell>
          <cell r="AT377">
            <v>5.8192047118425586E-2</v>
          </cell>
          <cell r="AU377">
            <v>6.8697482372227128E-2</v>
          </cell>
          <cell r="AW377">
            <v>0</v>
          </cell>
          <cell r="AY377">
            <v>0</v>
          </cell>
          <cell r="AZ377">
            <v>0</v>
          </cell>
          <cell r="BA377">
            <v>1</v>
          </cell>
          <cell r="BC377">
            <v>0.26035396079201234</v>
          </cell>
          <cell r="BD377">
            <v>0.3254424509900154</v>
          </cell>
          <cell r="BE377">
            <v>0.51076499926717378</v>
          </cell>
          <cell r="BF377">
            <v>0.78523369259151043</v>
          </cell>
          <cell r="BG377">
            <v>1.1575789425551009</v>
          </cell>
          <cell r="BH377">
            <v>1.6374124869819597</v>
          </cell>
          <cell r="BI377">
            <v>2.2349042045939576</v>
          </cell>
          <cell r="BJ377">
            <v>2.9616745989892173</v>
          </cell>
          <cell r="BL377">
            <v>173636.84138326513</v>
          </cell>
        </row>
        <row r="378">
          <cell r="A378">
            <v>10002054</v>
          </cell>
          <cell r="B378" t="str">
            <v/>
          </cell>
          <cell r="C378" t="str">
            <v>LSPL</v>
          </cell>
          <cell r="D378" t="str">
            <v>RPH</v>
          </cell>
          <cell r="E378">
            <v>31</v>
          </cell>
          <cell r="F378" t="str">
            <v>M</v>
          </cell>
          <cell r="G378">
            <v>35509</v>
          </cell>
          <cell r="H378">
            <v>1</v>
          </cell>
          <cell r="I378">
            <v>150000000</v>
          </cell>
          <cell r="J378">
            <v>1260000</v>
          </cell>
          <cell r="K378">
            <v>1260000</v>
          </cell>
          <cell r="L378">
            <v>1260000</v>
          </cell>
          <cell r="M378">
            <v>20</v>
          </cell>
          <cell r="N378">
            <v>54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T378">
            <v>41600</v>
          </cell>
          <cell r="U378">
            <v>41600</v>
          </cell>
          <cell r="W378">
            <v>5410020.4258345701</v>
          </cell>
          <cell r="X378">
            <v>0</v>
          </cell>
          <cell r="Y378">
            <v>0</v>
          </cell>
          <cell r="Z378">
            <v>83200</v>
          </cell>
          <cell r="AB378">
            <v>944614.87294809823</v>
          </cell>
          <cell r="AC378">
            <v>0</v>
          </cell>
          <cell r="AD378">
            <v>0</v>
          </cell>
          <cell r="AE378">
            <v>41600</v>
          </cell>
          <cell r="AH378">
            <v>79</v>
          </cell>
          <cell r="AI378">
            <v>72</v>
          </cell>
          <cell r="AJ378">
            <v>1</v>
          </cell>
          <cell r="AK378">
            <v>6.2974324863206551E-3</v>
          </cell>
          <cell r="AL378">
            <v>0</v>
          </cell>
          <cell r="AM378">
            <v>0</v>
          </cell>
          <cell r="AN378">
            <v>5.0035580636684784E-3</v>
          </cell>
          <cell r="AO378">
            <v>1.0388336956553425E-2</v>
          </cell>
          <cell r="AP378">
            <v>1.6170638501661186E-2</v>
          </cell>
          <cell r="AQ378">
            <v>2.2368737537356298E-2</v>
          </cell>
          <cell r="AR378">
            <v>2.8993389990586059E-2</v>
          </cell>
          <cell r="AS378">
            <v>3.6066802838897134E-2</v>
          </cell>
          <cell r="AT378">
            <v>4.3613901761207441E-2</v>
          </cell>
          <cell r="AU378">
            <v>5.1653148460340602E-2</v>
          </cell>
          <cell r="AW378">
            <v>0</v>
          </cell>
          <cell r="AY378">
            <v>0</v>
          </cell>
          <cell r="AZ378">
            <v>0</v>
          </cell>
          <cell r="BA378">
            <v>1</v>
          </cell>
          <cell r="BC378">
            <v>0.20846971170588305</v>
          </cell>
          <cell r="BD378">
            <v>0.2605871396323538</v>
          </cell>
          <cell r="BE378">
            <v>0.39535372801958457</v>
          </cell>
          <cell r="BF378">
            <v>0.59674487885485306</v>
          </cell>
          <cell r="BG378">
            <v>0.87158202339835333</v>
          </cell>
          <cell r="BH378">
            <v>1.2274550014953074</v>
          </cell>
          <cell r="BI378">
            <v>1.6726184329396871</v>
          </cell>
          <cell r="BJ378">
            <v>2.2155782728341316</v>
          </cell>
          <cell r="BL378">
            <v>130737.30350975301</v>
          </cell>
        </row>
        <row r="379">
          <cell r="A379">
            <v>10002058</v>
          </cell>
          <cell r="B379" t="str">
            <v/>
          </cell>
          <cell r="C379" t="str">
            <v>LSPL</v>
          </cell>
          <cell r="D379" t="str">
            <v>RPH</v>
          </cell>
          <cell r="E379">
            <v>47</v>
          </cell>
          <cell r="F379" t="str">
            <v>F</v>
          </cell>
          <cell r="G379">
            <v>35509</v>
          </cell>
          <cell r="H379">
            <v>1</v>
          </cell>
          <cell r="I379">
            <v>75000000</v>
          </cell>
          <cell r="J379">
            <v>1305000</v>
          </cell>
          <cell r="K379">
            <v>1305000</v>
          </cell>
          <cell r="L379">
            <v>1305000</v>
          </cell>
          <cell r="M379">
            <v>20</v>
          </cell>
          <cell r="N379">
            <v>38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T379">
            <v>112200</v>
          </cell>
          <cell r="U379">
            <v>112200</v>
          </cell>
          <cell r="W379">
            <v>5242284.7510740869</v>
          </cell>
          <cell r="X379">
            <v>0</v>
          </cell>
          <cell r="Y379">
            <v>0</v>
          </cell>
          <cell r="Z379">
            <v>224400</v>
          </cell>
          <cell r="AB379">
            <v>1040492.6895085593</v>
          </cell>
          <cell r="AC379">
            <v>0</v>
          </cell>
          <cell r="AD379">
            <v>0</v>
          </cell>
          <cell r="AE379">
            <v>112200</v>
          </cell>
          <cell r="AH379">
            <v>79</v>
          </cell>
          <cell r="AI379">
            <v>72</v>
          </cell>
          <cell r="AJ379">
            <v>1</v>
          </cell>
          <cell r="AK379">
            <v>1.3873235860114123E-2</v>
          </cell>
          <cell r="AL379">
            <v>0</v>
          </cell>
          <cell r="AM379">
            <v>0</v>
          </cell>
          <cell r="AN379">
            <v>1.0021457637271441E-2</v>
          </cell>
          <cell r="AO379">
            <v>2.0650469020751086E-2</v>
          </cell>
          <cell r="AP379">
            <v>3.1919648285201649E-2</v>
          </cell>
          <cell r="AQ379">
            <v>4.3866700599687128E-2</v>
          </cell>
          <cell r="AR379">
            <v>5.6513273104478665E-2</v>
          </cell>
          <cell r="AS379">
            <v>6.9897130014321157E-2</v>
          </cell>
          <cell r="AT379">
            <v>8.4094654443513175E-2</v>
          </cell>
          <cell r="AU379">
            <v>9.9191636329392527E-2</v>
          </cell>
          <cell r="AW379">
            <v>0</v>
          </cell>
          <cell r="AY379">
            <v>0</v>
          </cell>
          <cell r="AZ379">
            <v>0</v>
          </cell>
          <cell r="BA379">
            <v>1</v>
          </cell>
          <cell r="BC379">
            <v>0.26316854025323788</v>
          </cell>
          <cell r="BD379">
            <v>0.32896067531654732</v>
          </cell>
          <cell r="BE379">
            <v>0.6029730472464947</v>
          </cell>
          <cell r="BF379">
            <v>1.0081694549252007</v>
          </cell>
          <cell r="BG379">
            <v>1.5562985037353019</v>
          </cell>
          <cell r="BH379">
            <v>2.2603788119899906</v>
          </cell>
          <cell r="BI379">
            <v>3.1362770589572122</v>
          </cell>
          <cell r="BJ379">
            <v>4.2022113829340597</v>
          </cell>
          <cell r="BL379">
            <v>116722.38778014765</v>
          </cell>
        </row>
        <row r="380">
          <cell r="A380">
            <v>10002086</v>
          </cell>
          <cell r="B380" t="str">
            <v/>
          </cell>
          <cell r="C380" t="str">
            <v>LSPL</v>
          </cell>
          <cell r="D380" t="str">
            <v>RPH</v>
          </cell>
          <cell r="E380">
            <v>39</v>
          </cell>
          <cell r="F380" t="str">
            <v>F</v>
          </cell>
          <cell r="G380">
            <v>35516</v>
          </cell>
          <cell r="H380">
            <v>1</v>
          </cell>
          <cell r="I380">
            <v>183000000</v>
          </cell>
          <cell r="J380">
            <v>2067900</v>
          </cell>
          <cell r="K380">
            <v>2067900</v>
          </cell>
          <cell r="L380">
            <v>2067900</v>
          </cell>
          <cell r="M380">
            <v>20</v>
          </cell>
          <cell r="N380">
            <v>46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T380">
            <v>0</v>
          </cell>
          <cell r="U380">
            <v>0</v>
          </cell>
          <cell r="W380">
            <v>8457926.8925602604</v>
          </cell>
          <cell r="X380">
            <v>0</v>
          </cell>
          <cell r="Y380">
            <v>0</v>
          </cell>
          <cell r="Z380">
            <v>0</v>
          </cell>
          <cell r="AB380">
            <v>1603289.998201075</v>
          </cell>
          <cell r="AC380">
            <v>0</v>
          </cell>
          <cell r="AD380">
            <v>0</v>
          </cell>
          <cell r="AE380">
            <v>0</v>
          </cell>
          <cell r="AH380">
            <v>79</v>
          </cell>
          <cell r="AI380">
            <v>72</v>
          </cell>
          <cell r="AJ380">
            <v>1</v>
          </cell>
          <cell r="AK380">
            <v>8.761147531153415E-3</v>
          </cell>
          <cell r="AL380">
            <v>0</v>
          </cell>
          <cell r="AM380">
            <v>0</v>
          </cell>
          <cell r="AN380">
            <v>6.6595267018963594E-3</v>
          </cell>
          <cell r="AO380">
            <v>1.3689327411964602E-2</v>
          </cell>
          <cell r="AP380">
            <v>2.1116383534371008E-2</v>
          </cell>
          <cell r="AQ380">
            <v>2.8993203851595428E-2</v>
          </cell>
          <cell r="AR380">
            <v>3.7343975775363553E-2</v>
          </cell>
          <cell r="AS380">
            <v>4.6218179740766446E-2</v>
          </cell>
          <cell r="AT380">
            <v>5.5670429020416717E-2</v>
          </cell>
          <cell r="AU380">
            <v>6.5728631853799013E-2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C380">
            <v>0.24315187105378025</v>
          </cell>
          <cell r="BD380">
            <v>0.30393983881722531</v>
          </cell>
          <cell r="BE380">
            <v>0.47983844579698209</v>
          </cell>
          <cell r="BF380">
            <v>0.73996423274452161</v>
          </cell>
          <cell r="BG380">
            <v>1.0922260112237141</v>
          </cell>
          <cell r="BH380">
            <v>1.5462047187401926</v>
          </cell>
          <cell r="BI380">
            <v>2.1128796226841078</v>
          </cell>
          <cell r="BJ380">
            <v>2.8030545806118106</v>
          </cell>
          <cell r="BL380">
            <v>199877.36005393966</v>
          </cell>
        </row>
        <row r="381">
          <cell r="A381">
            <v>10002118</v>
          </cell>
          <cell r="B381" t="str">
            <v/>
          </cell>
          <cell r="C381" t="str">
            <v>LSPL</v>
          </cell>
          <cell r="D381" t="str">
            <v>RPH</v>
          </cell>
          <cell r="E381">
            <v>33</v>
          </cell>
          <cell r="F381" t="str">
            <v>M</v>
          </cell>
          <cell r="G381">
            <v>35521</v>
          </cell>
          <cell r="H381">
            <v>1</v>
          </cell>
          <cell r="I381">
            <v>1000000000</v>
          </cell>
          <cell r="J381">
            <v>8300000</v>
          </cell>
          <cell r="K381">
            <v>8300000</v>
          </cell>
          <cell r="L381">
            <v>8300000</v>
          </cell>
          <cell r="M381">
            <v>20</v>
          </cell>
          <cell r="N381">
            <v>52</v>
          </cell>
          <cell r="O381">
            <v>1000000000</v>
          </cell>
          <cell r="P381">
            <v>2500000</v>
          </cell>
          <cell r="Q381">
            <v>0</v>
          </cell>
          <cell r="R381">
            <v>0</v>
          </cell>
          <cell r="T381">
            <v>298800</v>
          </cell>
          <cell r="U381">
            <v>298800</v>
          </cell>
          <cell r="W381">
            <v>40719165.641802207</v>
          </cell>
          <cell r="X381">
            <v>2500000</v>
          </cell>
          <cell r="Y381">
            <v>0</v>
          </cell>
          <cell r="Z381">
            <v>597600</v>
          </cell>
          <cell r="AB381">
            <v>7112076.9826580388</v>
          </cell>
          <cell r="AC381">
            <v>2500000</v>
          </cell>
          <cell r="AD381">
            <v>0</v>
          </cell>
          <cell r="AE381">
            <v>298800</v>
          </cell>
          <cell r="AH381">
            <v>78</v>
          </cell>
          <cell r="AI381">
            <v>72</v>
          </cell>
          <cell r="AJ381">
            <v>1</v>
          </cell>
          <cell r="AK381">
            <v>7.1120769826580393E-3</v>
          </cell>
          <cell r="AL381">
            <v>0</v>
          </cell>
          <cell r="AM381">
            <v>0</v>
          </cell>
          <cell r="AN381">
            <v>5.7138773596846493E-3</v>
          </cell>
          <cell r="AO381">
            <v>1.1835974297378898E-2</v>
          </cell>
          <cell r="AP381">
            <v>1.8376008234343988E-2</v>
          </cell>
          <cell r="AQ381">
            <v>2.5355147203067786E-2</v>
          </cell>
          <cell r="AR381">
            <v>3.2797170780131876E-2</v>
          </cell>
          <cell r="AS381">
            <v>4.071916564180221E-2</v>
          </cell>
          <cell r="AT381">
            <v>4.9140848132278328E-2</v>
          </cell>
          <cell r="AU381">
            <v>5.8094371124526471E-2</v>
          </cell>
          <cell r="AW381">
            <v>0</v>
          </cell>
          <cell r="AY381">
            <v>1</v>
          </cell>
          <cell r="AZ381">
            <v>0</v>
          </cell>
          <cell r="BA381">
            <v>1</v>
          </cell>
          <cell r="BC381">
            <v>0.22859547026974839</v>
          </cell>
          <cell r="BD381">
            <v>0.28574433783718545</v>
          </cell>
          <cell r="BE381">
            <v>0.43963179624991366</v>
          </cell>
          <cell r="BF381">
            <v>0.66860864247157115</v>
          </cell>
          <cell r="BG381">
            <v>0.98040917920574355</v>
          </cell>
          <cell r="BH381">
            <v>1.3830441539534091</v>
          </cell>
          <cell r="BI381">
            <v>1.8850810620789491</v>
          </cell>
          <cell r="BJ381">
            <v>2.4962600658297007</v>
          </cell>
          <cell r="BL381">
            <v>980409.1792057436</v>
          </cell>
        </row>
        <row r="382">
          <cell r="A382">
            <v>10002121</v>
          </cell>
          <cell r="B382" t="str">
            <v/>
          </cell>
          <cell r="C382" t="str">
            <v>LSPL</v>
          </cell>
          <cell r="D382" t="str">
            <v>RPH</v>
          </cell>
          <cell r="E382">
            <v>35</v>
          </cell>
          <cell r="F382" t="str">
            <v>M</v>
          </cell>
          <cell r="G382">
            <v>35521</v>
          </cell>
          <cell r="H382">
            <v>2</v>
          </cell>
          <cell r="I382">
            <v>100000000</v>
          </cell>
          <cell r="J382">
            <v>540800</v>
          </cell>
          <cell r="K382">
            <v>540800</v>
          </cell>
          <cell r="L382">
            <v>1081600</v>
          </cell>
          <cell r="M382">
            <v>20</v>
          </cell>
          <cell r="N382">
            <v>50</v>
          </cell>
          <cell r="O382">
            <v>100000000</v>
          </cell>
          <cell r="P382">
            <v>260000</v>
          </cell>
          <cell r="Q382">
            <v>0</v>
          </cell>
          <cell r="R382">
            <v>0</v>
          </cell>
          <cell r="T382">
            <v>21100</v>
          </cell>
          <cell r="U382">
            <v>42200</v>
          </cell>
          <cell r="W382">
            <v>4568102.5905056568</v>
          </cell>
          <cell r="X382">
            <v>260000</v>
          </cell>
          <cell r="Y382">
            <v>0</v>
          </cell>
          <cell r="Z382">
            <v>84400</v>
          </cell>
          <cell r="AB382">
            <v>804981.97267708252</v>
          </cell>
          <cell r="AC382">
            <v>260000</v>
          </cell>
          <cell r="AD382">
            <v>0</v>
          </cell>
          <cell r="AE382">
            <v>42200</v>
          </cell>
          <cell r="AH382">
            <v>78</v>
          </cell>
          <cell r="AI382">
            <v>72</v>
          </cell>
          <cell r="AJ382">
            <v>2</v>
          </cell>
          <cell r="AK382">
            <v>8.0498197267708255E-3</v>
          </cell>
          <cell r="AL382">
            <v>0</v>
          </cell>
          <cell r="AM382">
            <v>0</v>
          </cell>
          <cell r="AN382">
            <v>6.4693123067318115E-3</v>
          </cell>
          <cell r="AO382">
            <v>1.3369143082794119E-2</v>
          </cell>
          <cell r="AP382">
            <v>2.0722204971750091E-2</v>
          </cell>
          <cell r="AQ382">
            <v>2.8544285348899565E-2</v>
          </cell>
          <cell r="AR382">
            <v>3.6853663572734938E-2</v>
          </cell>
          <cell r="AS382">
            <v>4.5681025905056571E-2</v>
          </cell>
          <cell r="AT382">
            <v>5.5060897669044012E-2</v>
          </cell>
          <cell r="AU382">
            <v>6.502272353729352E-2</v>
          </cell>
          <cell r="AW382">
            <v>0</v>
          </cell>
          <cell r="AY382">
            <v>1</v>
          </cell>
          <cell r="AZ382">
            <v>0</v>
          </cell>
          <cell r="BA382">
            <v>1</v>
          </cell>
          <cell r="BC382">
            <v>0.25053185522269711</v>
          </cell>
          <cell r="BD382">
            <v>0.31316481902837134</v>
          </cell>
          <cell r="BE382">
            <v>0.48767249426225812</v>
          </cell>
          <cell r="BF382">
            <v>0.746557783531269</v>
          </cell>
          <cell r="BG382">
            <v>1.0978787983719966</v>
          </cell>
          <cell r="BH382">
            <v>1.5506867093882037</v>
          </cell>
          <cell r="BI382">
            <v>2.1149603100158902</v>
          </cell>
          <cell r="BJ382">
            <v>2.8012412453396784</v>
          </cell>
          <cell r="BL382">
            <v>109787.87983719965</v>
          </cell>
        </row>
        <row r="383">
          <cell r="A383">
            <v>10002124</v>
          </cell>
          <cell r="B383" t="str">
            <v/>
          </cell>
          <cell r="C383" t="str">
            <v>LSPL</v>
          </cell>
          <cell r="D383" t="str">
            <v>RPH</v>
          </cell>
          <cell r="E383">
            <v>32</v>
          </cell>
          <cell r="F383" t="str">
            <v>M</v>
          </cell>
          <cell r="G383">
            <v>35530</v>
          </cell>
          <cell r="H383">
            <v>2</v>
          </cell>
          <cell r="I383">
            <v>480000000</v>
          </cell>
          <cell r="J383">
            <v>1965600</v>
          </cell>
          <cell r="K383">
            <v>1965600</v>
          </cell>
          <cell r="L383">
            <v>3931200</v>
          </cell>
          <cell r="M383">
            <v>20</v>
          </cell>
          <cell r="N383">
            <v>53</v>
          </cell>
          <cell r="O383">
            <v>480000000</v>
          </cell>
          <cell r="P383">
            <v>1260000</v>
          </cell>
          <cell r="Q383">
            <v>0</v>
          </cell>
          <cell r="R383">
            <v>0</v>
          </cell>
          <cell r="T383">
            <v>68775</v>
          </cell>
          <cell r="U383">
            <v>137550</v>
          </cell>
          <cell r="W383">
            <v>18410068.43259424</v>
          </cell>
          <cell r="X383">
            <v>1260000</v>
          </cell>
          <cell r="Y383">
            <v>0</v>
          </cell>
          <cell r="Z383">
            <v>275100</v>
          </cell>
          <cell r="AB383">
            <v>3211155.1773896618</v>
          </cell>
          <cell r="AC383">
            <v>1260000</v>
          </cell>
          <cell r="AD383">
            <v>0</v>
          </cell>
          <cell r="AE383">
            <v>137550</v>
          </cell>
          <cell r="AH383">
            <v>78</v>
          </cell>
          <cell r="AI383">
            <v>72</v>
          </cell>
          <cell r="AJ383">
            <v>2</v>
          </cell>
          <cell r="AK383">
            <v>6.6899066195617958E-3</v>
          </cell>
          <cell r="AL383">
            <v>0</v>
          </cell>
          <cell r="AM383">
            <v>0</v>
          </cell>
          <cell r="AN383">
            <v>5.352435464478042E-3</v>
          </cell>
          <cell r="AO383">
            <v>1.1098905628141087E-2</v>
          </cell>
          <cell r="AP383">
            <v>1.7257253590287069E-2</v>
          </cell>
          <cell r="AQ383">
            <v>2.3837708111554064E-2</v>
          </cell>
          <cell r="AR383">
            <v>3.0861946303211263E-2</v>
          </cell>
          <cell r="AS383">
            <v>3.8354309234571331E-2</v>
          </cell>
          <cell r="AT383">
            <v>4.6332559704147069E-2</v>
          </cell>
          <cell r="AU383">
            <v>5.4817162354258604E-2</v>
          </cell>
          <cell r="AW383">
            <v>0</v>
          </cell>
          <cell r="AY383">
            <v>1</v>
          </cell>
          <cell r="AZ383">
            <v>0</v>
          </cell>
          <cell r="BA383">
            <v>1</v>
          </cell>
          <cell r="BC383">
            <v>0.21828614938816021</v>
          </cell>
          <cell r="BD383">
            <v>0.27285768673520022</v>
          </cell>
          <cell r="BE383">
            <v>0.41710653837050449</v>
          </cell>
          <cell r="BF383">
            <v>0.63200739617239243</v>
          </cell>
          <cell r="BG383">
            <v>0.92491627066506665</v>
          </cell>
          <cell r="BH383">
            <v>1.3038207896808134</v>
          </cell>
          <cell r="BI383">
            <v>1.7769714534830221</v>
          </cell>
          <cell r="BJ383">
            <v>2.3532137420334638</v>
          </cell>
          <cell r="BL383">
            <v>443959.80991923204</v>
          </cell>
        </row>
        <row r="384">
          <cell r="A384">
            <v>10002218</v>
          </cell>
          <cell r="B384" t="str">
            <v/>
          </cell>
          <cell r="C384" t="str">
            <v>LSPL</v>
          </cell>
          <cell r="D384" t="str">
            <v>RPH</v>
          </cell>
          <cell r="E384">
            <v>54</v>
          </cell>
          <cell r="F384" t="str">
            <v>M</v>
          </cell>
          <cell r="G384">
            <v>35594</v>
          </cell>
          <cell r="H384">
            <v>2</v>
          </cell>
          <cell r="I384">
            <v>70000000</v>
          </cell>
          <cell r="J384">
            <v>1332200</v>
          </cell>
          <cell r="K384">
            <v>1332200</v>
          </cell>
          <cell r="L384">
            <v>2664400</v>
          </cell>
          <cell r="M384">
            <v>20</v>
          </cell>
          <cell r="N384">
            <v>31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T384">
            <v>0</v>
          </cell>
          <cell r="U384">
            <v>0</v>
          </cell>
          <cell r="W384">
            <v>7554589.415695929</v>
          </cell>
          <cell r="X384">
            <v>0</v>
          </cell>
          <cell r="Y384">
            <v>0</v>
          </cell>
          <cell r="Z384">
            <v>0</v>
          </cell>
          <cell r="AB384">
            <v>1821828.6079227624</v>
          </cell>
          <cell r="AC384">
            <v>0</v>
          </cell>
          <cell r="AD384">
            <v>0</v>
          </cell>
          <cell r="AE384">
            <v>0</v>
          </cell>
          <cell r="AH384">
            <v>76</v>
          </cell>
          <cell r="AI384">
            <v>72</v>
          </cell>
          <cell r="AJ384">
            <v>1</v>
          </cell>
          <cell r="AK384">
            <v>2.6026122970325177E-2</v>
          </cell>
          <cell r="AL384">
            <v>0</v>
          </cell>
          <cell r="AM384">
            <v>0</v>
          </cell>
          <cell r="AN384">
            <v>1.7601385219661869E-2</v>
          </cell>
          <cell r="AO384">
            <v>3.6015084488412119E-2</v>
          </cell>
          <cell r="AP384">
            <v>5.5306107775415031E-2</v>
          </cell>
          <cell r="AQ384">
            <v>7.5543336017586254E-2</v>
          </cell>
          <cell r="AR384">
            <v>9.6783105788075419E-2</v>
          </cell>
          <cell r="AS384">
            <v>0.11906230608895113</v>
          </cell>
          <cell r="AT384">
            <v>0.14240086760381712</v>
          </cell>
          <cell r="AU384">
            <v>0.16682187586828481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C384">
            <v>0.31948476198162884</v>
          </cell>
          <cell r="BD384">
            <v>0.70132335832138315</v>
          </cell>
          <cell r="BE384">
            <v>1.2603720454748266</v>
          </cell>
          <cell r="BF384">
            <v>2.0441259458713916</v>
          </cell>
          <cell r="BG384">
            <v>3.0706205753031983</v>
          </cell>
          <cell r="BH384">
            <v>4.3584349356939853</v>
          </cell>
          <cell r="BI384">
            <v>5.926282432579093</v>
          </cell>
          <cell r="BJ384">
            <v>7.7936479931222324</v>
          </cell>
          <cell r="BL384">
            <v>214943.44027122387</v>
          </cell>
        </row>
        <row r="385">
          <cell r="A385">
            <v>10002228</v>
          </cell>
          <cell r="B385" t="str">
            <v/>
          </cell>
          <cell r="C385" t="str">
            <v>LSPL</v>
          </cell>
          <cell r="D385" t="str">
            <v>RPH</v>
          </cell>
          <cell r="E385">
            <v>30</v>
          </cell>
          <cell r="F385" t="str">
            <v>F</v>
          </cell>
          <cell r="G385">
            <v>35599</v>
          </cell>
          <cell r="H385">
            <v>1</v>
          </cell>
          <cell r="I385">
            <v>150000000</v>
          </cell>
          <cell r="J385">
            <v>1050000</v>
          </cell>
          <cell r="K385">
            <v>1050000</v>
          </cell>
          <cell r="L385">
            <v>1050000</v>
          </cell>
          <cell r="M385">
            <v>20</v>
          </cell>
          <cell r="N385">
            <v>55</v>
          </cell>
          <cell r="O385">
            <v>150000000</v>
          </cell>
          <cell r="P385">
            <v>375000</v>
          </cell>
          <cell r="Q385">
            <v>0</v>
          </cell>
          <cell r="R385">
            <v>0</v>
          </cell>
          <cell r="T385">
            <v>33600</v>
          </cell>
          <cell r="U385">
            <v>33600</v>
          </cell>
          <cell r="W385">
            <v>4296615.2216062574</v>
          </cell>
          <cell r="X385">
            <v>375000</v>
          </cell>
          <cell r="Y385">
            <v>0</v>
          </cell>
          <cell r="Z385">
            <v>67200</v>
          </cell>
          <cell r="AB385">
            <v>769224.15273303876</v>
          </cell>
          <cell r="AC385">
            <v>375000</v>
          </cell>
          <cell r="AD385">
            <v>0</v>
          </cell>
          <cell r="AE385">
            <v>33600</v>
          </cell>
          <cell r="AH385">
            <v>76</v>
          </cell>
          <cell r="AI385">
            <v>72</v>
          </cell>
          <cell r="AJ385">
            <v>1</v>
          </cell>
          <cell r="AK385">
            <v>5.1281610182202586E-3</v>
          </cell>
          <cell r="AL385">
            <v>0</v>
          </cell>
          <cell r="AM385">
            <v>1.3877787807814457E-17</v>
          </cell>
          <cell r="AN385">
            <v>3.9631673621624702E-3</v>
          </cell>
          <cell r="AO385">
            <v>8.232965763239862E-3</v>
          </cell>
          <cell r="AP385">
            <v>1.2815324130827276E-2</v>
          </cell>
          <cell r="AQ385">
            <v>1.7739743948382271E-2</v>
          </cell>
          <cell r="AR385">
            <v>2.3016012718461279E-2</v>
          </cell>
          <cell r="AS385">
            <v>2.8644101477375047E-2</v>
          </cell>
          <cell r="AT385">
            <v>3.4635835292949252E-2</v>
          </cell>
          <cell r="AU385">
            <v>4.0993669973775591E-2</v>
          </cell>
          <cell r="AW385">
            <v>0</v>
          </cell>
          <cell r="AY385">
            <v>1</v>
          </cell>
          <cell r="AZ385">
            <v>0</v>
          </cell>
          <cell r="BA385">
            <v>1</v>
          </cell>
          <cell r="BC385">
            <v>0.17120225931585523</v>
          </cell>
          <cell r="BD385">
            <v>0.21400282414481905</v>
          </cell>
          <cell r="BE385">
            <v>0.3194707056529425</v>
          </cell>
          <cell r="BF385">
            <v>0.47746148892134199</v>
          </cell>
          <cell r="BG385">
            <v>0.69354835917495794</v>
          </cell>
          <cell r="BH385">
            <v>0.97311705088323297</v>
          </cell>
          <cell r="BI385">
            <v>1.3221539786377794</v>
          </cell>
          <cell r="BJ385">
            <v>1.74642590686842</v>
          </cell>
          <cell r="BL385">
            <v>104032.25387624369</v>
          </cell>
        </row>
        <row r="386">
          <cell r="A386">
            <v>10002231</v>
          </cell>
          <cell r="B386" t="str">
            <v/>
          </cell>
          <cell r="C386" t="str">
            <v>LSPL</v>
          </cell>
          <cell r="D386" t="str">
            <v>RPH</v>
          </cell>
          <cell r="E386">
            <v>38</v>
          </cell>
          <cell r="F386" t="str">
            <v>F</v>
          </cell>
          <cell r="G386">
            <v>35600</v>
          </cell>
          <cell r="H386">
            <v>1</v>
          </cell>
          <cell r="I386">
            <v>100000000</v>
          </cell>
          <cell r="J386">
            <v>1070000</v>
          </cell>
          <cell r="K386">
            <v>1070000</v>
          </cell>
          <cell r="L386">
            <v>1070000</v>
          </cell>
          <cell r="M386">
            <v>20</v>
          </cell>
          <cell r="N386">
            <v>47</v>
          </cell>
          <cell r="O386">
            <v>100000000</v>
          </cell>
          <cell r="P386">
            <v>250000</v>
          </cell>
          <cell r="Q386">
            <v>0</v>
          </cell>
          <cell r="R386">
            <v>0</v>
          </cell>
          <cell r="T386">
            <v>49200</v>
          </cell>
          <cell r="U386">
            <v>49200</v>
          </cell>
          <cell r="W386">
            <v>4396643.1494802292</v>
          </cell>
          <cell r="X386">
            <v>250000</v>
          </cell>
          <cell r="Y386">
            <v>0</v>
          </cell>
          <cell r="Z386">
            <v>98400</v>
          </cell>
          <cell r="AB386">
            <v>825831.48085213045</v>
          </cell>
          <cell r="AC386">
            <v>250000</v>
          </cell>
          <cell r="AD386">
            <v>0</v>
          </cell>
          <cell r="AE386">
            <v>49200</v>
          </cell>
          <cell r="AH386">
            <v>76</v>
          </cell>
          <cell r="AI386">
            <v>72</v>
          </cell>
          <cell r="AJ386">
            <v>1</v>
          </cell>
          <cell r="AK386">
            <v>8.2583148085213047E-3</v>
          </cell>
          <cell r="AL386">
            <v>0</v>
          </cell>
          <cell r="AM386">
            <v>0</v>
          </cell>
          <cell r="AN386">
            <v>6.3505062920754668E-3</v>
          </cell>
          <cell r="AO386">
            <v>1.3052090055667501E-2</v>
          </cell>
          <cell r="AP386">
            <v>2.0129500848399012E-2</v>
          </cell>
          <cell r="AQ386">
            <v>2.7610339700195732E-2</v>
          </cell>
          <cell r="AR386">
            <v>3.5547648761945522E-2</v>
          </cell>
          <cell r="AS386">
            <v>4.3966431494802297E-2</v>
          </cell>
          <cell r="AT386">
            <v>5.2916917867035979E-2</v>
          </cell>
          <cell r="AU386">
            <v>6.2454548721996302E-2</v>
          </cell>
          <cell r="AW386">
            <v>0</v>
          </cell>
          <cell r="AY386">
            <v>1</v>
          </cell>
          <cell r="AZ386">
            <v>0</v>
          </cell>
          <cell r="BA386">
            <v>1</v>
          </cell>
          <cell r="BC386">
            <v>0.23573646360674541</v>
          </cell>
          <cell r="BD386">
            <v>0.29467057950843178</v>
          </cell>
          <cell r="BE386">
            <v>0.46192676239073049</v>
          </cell>
          <cell r="BF386">
            <v>0.7084489917766259</v>
          </cell>
          <cell r="BG386">
            <v>1.0424758864008132</v>
          </cell>
          <cell r="BH386">
            <v>1.4722288765511022</v>
          </cell>
          <cell r="BI386">
            <v>2.0077613706941051</v>
          </cell>
          <cell r="BJ386">
            <v>2.6605839711572328</v>
          </cell>
          <cell r="BL386">
            <v>104247.58864008132</v>
          </cell>
        </row>
        <row r="387">
          <cell r="A387">
            <v>10002273</v>
          </cell>
          <cell r="B387" t="str">
            <v/>
          </cell>
          <cell r="C387" t="str">
            <v>LSPL</v>
          </cell>
          <cell r="D387" t="str">
            <v>RPH</v>
          </cell>
          <cell r="E387">
            <v>46</v>
          </cell>
          <cell r="F387" t="str">
            <v>M</v>
          </cell>
          <cell r="G387">
            <v>35618</v>
          </cell>
          <cell r="H387">
            <v>1</v>
          </cell>
          <cell r="I387">
            <v>50000000</v>
          </cell>
          <cell r="J387">
            <v>1130000</v>
          </cell>
          <cell r="K387">
            <v>1130000</v>
          </cell>
          <cell r="L387">
            <v>1130000</v>
          </cell>
          <cell r="M387">
            <v>20</v>
          </cell>
          <cell r="N387">
            <v>39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T387">
            <v>90400</v>
          </cell>
          <cell r="U387">
            <v>90400</v>
          </cell>
          <cell r="W387">
            <v>4113006.9490204877</v>
          </cell>
          <cell r="X387">
            <v>0</v>
          </cell>
          <cell r="Y387">
            <v>0</v>
          </cell>
          <cell r="Z387">
            <v>180800</v>
          </cell>
          <cell r="AB387">
            <v>794067.1428065683</v>
          </cell>
          <cell r="AC387">
            <v>0</v>
          </cell>
          <cell r="AD387">
            <v>0</v>
          </cell>
          <cell r="AE387">
            <v>90400</v>
          </cell>
          <cell r="AH387">
            <v>75</v>
          </cell>
          <cell r="AI387">
            <v>72</v>
          </cell>
          <cell r="AJ387">
            <v>1</v>
          </cell>
          <cell r="AK387">
            <v>1.5881342856131367E-2</v>
          </cell>
          <cell r="AL387">
            <v>0</v>
          </cell>
          <cell r="AM387">
            <v>0</v>
          </cell>
          <cell r="AN387">
            <v>1.1846173050150399E-2</v>
          </cell>
          <cell r="AO387">
            <v>2.4398652292030309E-2</v>
          </cell>
          <cell r="AP387">
            <v>3.7688663477561279E-2</v>
          </cell>
          <cell r="AQ387">
            <v>5.1753581977567853E-2</v>
          </cell>
          <cell r="AR387">
            <v>6.660022780689881E-2</v>
          </cell>
          <cell r="AS387">
            <v>8.226013898040975E-2</v>
          </cell>
          <cell r="AT387">
            <v>9.8745764027400054E-2</v>
          </cell>
          <cell r="AU387">
            <v>0.1160956641006974</v>
          </cell>
          <cell r="AW387">
            <v>0</v>
          </cell>
          <cell r="AY387">
            <v>0</v>
          </cell>
          <cell r="AZ387">
            <v>0</v>
          </cell>
          <cell r="BA387">
            <v>1</v>
          </cell>
          <cell r="BC387">
            <v>0.33995201902085659</v>
          </cell>
          <cell r="BD387">
            <v>0.42494002377607071</v>
          </cell>
          <cell r="BE387">
            <v>0.75441785857329557</v>
          </cell>
          <cell r="BF387">
            <v>1.241048816841186</v>
          </cell>
          <cell r="BG387">
            <v>1.8979916969877797</v>
          </cell>
          <cell r="BH387">
            <v>2.7397821002284468</v>
          </cell>
          <cell r="BI387">
            <v>3.7808651239221955</v>
          </cell>
          <cell r="BJ387">
            <v>5.0375725245900185</v>
          </cell>
          <cell r="BL387">
            <v>94899.584849388993</v>
          </cell>
        </row>
        <row r="388">
          <cell r="A388">
            <v>10002297</v>
          </cell>
          <cell r="B388" t="str">
            <v/>
          </cell>
          <cell r="C388" t="str">
            <v>LSPL</v>
          </cell>
          <cell r="D388" t="str">
            <v>RPH</v>
          </cell>
          <cell r="E388">
            <v>46</v>
          </cell>
          <cell r="F388" t="str">
            <v>M</v>
          </cell>
          <cell r="G388">
            <v>35639</v>
          </cell>
          <cell r="H388">
            <v>1</v>
          </cell>
          <cell r="I388">
            <v>50000000</v>
          </cell>
          <cell r="J388">
            <v>1130000</v>
          </cell>
          <cell r="K388">
            <v>1130000</v>
          </cell>
          <cell r="L388">
            <v>1130000</v>
          </cell>
          <cell r="M388">
            <v>20</v>
          </cell>
          <cell r="N388">
            <v>39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W388">
            <v>4113006.9490204877</v>
          </cell>
          <cell r="X388">
            <v>0</v>
          </cell>
          <cell r="Y388">
            <v>0</v>
          </cell>
          <cell r="Z388">
            <v>0</v>
          </cell>
          <cell r="AB388">
            <v>794067.1428065683</v>
          </cell>
          <cell r="AC388">
            <v>0</v>
          </cell>
          <cell r="AD388">
            <v>0</v>
          </cell>
          <cell r="AE388">
            <v>0</v>
          </cell>
          <cell r="AH388">
            <v>75</v>
          </cell>
          <cell r="AI388">
            <v>72</v>
          </cell>
          <cell r="AJ388">
            <v>1</v>
          </cell>
          <cell r="AK388">
            <v>1.5881342856131367E-2</v>
          </cell>
          <cell r="AL388">
            <v>0</v>
          </cell>
          <cell r="AM388">
            <v>0</v>
          </cell>
          <cell r="AN388">
            <v>1.1846173050150399E-2</v>
          </cell>
          <cell r="AO388">
            <v>2.4398652292030309E-2</v>
          </cell>
          <cell r="AP388">
            <v>3.7688663477561279E-2</v>
          </cell>
          <cell r="AQ388">
            <v>5.1753581977567853E-2</v>
          </cell>
          <cell r="AR388">
            <v>6.660022780689881E-2</v>
          </cell>
          <cell r="AS388">
            <v>8.226013898040975E-2</v>
          </cell>
          <cell r="AT388">
            <v>9.8745764027400054E-2</v>
          </cell>
          <cell r="AU388">
            <v>0.1160956641006974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C388">
            <v>0.33995201902085659</v>
          </cell>
          <cell r="BD388">
            <v>0.42494002377607071</v>
          </cell>
          <cell r="BE388">
            <v>0.75441785857329557</v>
          </cell>
          <cell r="BF388">
            <v>1.241048816841186</v>
          </cell>
          <cell r="BG388">
            <v>1.8979916969877797</v>
          </cell>
          <cell r="BH388">
            <v>2.7397821002284468</v>
          </cell>
          <cell r="BI388">
            <v>3.7808651239221955</v>
          </cell>
          <cell r="BJ388">
            <v>5.0375725245900185</v>
          </cell>
          <cell r="BL388">
            <v>94899.584849388993</v>
          </cell>
        </row>
        <row r="389">
          <cell r="A389">
            <v>10002301</v>
          </cell>
          <cell r="B389" t="str">
            <v/>
          </cell>
          <cell r="C389" t="str">
            <v>LSPL</v>
          </cell>
          <cell r="D389" t="str">
            <v>RPH</v>
          </cell>
          <cell r="E389">
            <v>38</v>
          </cell>
          <cell r="F389" t="str">
            <v>M</v>
          </cell>
          <cell r="G389">
            <v>35634</v>
          </cell>
          <cell r="H389">
            <v>1</v>
          </cell>
          <cell r="I389">
            <v>80000000</v>
          </cell>
          <cell r="J389">
            <v>1136000</v>
          </cell>
          <cell r="K389">
            <v>1136000</v>
          </cell>
          <cell r="L389">
            <v>1136000</v>
          </cell>
          <cell r="M389">
            <v>20</v>
          </cell>
          <cell r="N389">
            <v>47</v>
          </cell>
          <cell r="O389">
            <v>80000000</v>
          </cell>
          <cell r="P389">
            <v>200000</v>
          </cell>
          <cell r="Q389">
            <v>0</v>
          </cell>
          <cell r="R389">
            <v>0</v>
          </cell>
          <cell r="T389">
            <v>52300</v>
          </cell>
          <cell r="U389">
            <v>52300</v>
          </cell>
          <cell r="W389">
            <v>4308648.5365866441</v>
          </cell>
          <cell r="X389">
            <v>200000</v>
          </cell>
          <cell r="Y389">
            <v>0</v>
          </cell>
          <cell r="Z389">
            <v>104600</v>
          </cell>
          <cell r="AB389">
            <v>776323.44036992313</v>
          </cell>
          <cell r="AC389">
            <v>200000</v>
          </cell>
          <cell r="AD389">
            <v>0</v>
          </cell>
          <cell r="AE389">
            <v>52300</v>
          </cell>
          <cell r="AH389">
            <v>75</v>
          </cell>
          <cell r="AI389">
            <v>72</v>
          </cell>
          <cell r="AJ389">
            <v>1</v>
          </cell>
          <cell r="AK389">
            <v>9.7040430046240397E-3</v>
          </cell>
          <cell r="AL389">
            <v>0</v>
          </cell>
          <cell r="AM389">
            <v>0</v>
          </cell>
          <cell r="AN389">
            <v>7.6997361097585204E-3</v>
          </cell>
          <cell r="AO389">
            <v>1.5870110081433492E-2</v>
          </cell>
          <cell r="AP389">
            <v>2.4539752818441854E-2</v>
          </cell>
          <cell r="AQ389">
            <v>3.3740916246416008E-2</v>
          </cell>
          <cell r="AR389">
            <v>4.3500311840350261E-2</v>
          </cell>
          <cell r="AS389">
            <v>5.3858106707333056E-2</v>
          </cell>
          <cell r="AT389">
            <v>6.48595287570541E-2</v>
          </cell>
          <cell r="AU389">
            <v>7.6546209814479349E-2</v>
          </cell>
          <cell r="AW389">
            <v>0</v>
          </cell>
          <cell r="AY389">
            <v>1</v>
          </cell>
          <cell r="AZ389">
            <v>0</v>
          </cell>
          <cell r="BA389">
            <v>1</v>
          </cell>
          <cell r="BC389">
            <v>0.28036468454822633</v>
          </cell>
          <cell r="BD389">
            <v>0.35045585568528287</v>
          </cell>
          <cell r="BE389">
            <v>0.55858595202169659</v>
          </cell>
          <cell r="BF389">
            <v>0.86669578266677849</v>
          </cell>
          <cell r="BG389">
            <v>1.2842681334272097</v>
          </cell>
          <cell r="BH389">
            <v>1.8220313416857772</v>
          </cell>
          <cell r="BI389">
            <v>2.4919361459161675</v>
          </cell>
          <cell r="BJ389">
            <v>3.3068439446859066</v>
          </cell>
          <cell r="BL389">
            <v>102741.45067417678</v>
          </cell>
        </row>
        <row r="390">
          <cell r="A390">
            <v>10002312</v>
          </cell>
          <cell r="B390" t="str">
            <v/>
          </cell>
          <cell r="C390" t="str">
            <v>LSPL</v>
          </cell>
          <cell r="D390" t="str">
            <v>RPH</v>
          </cell>
          <cell r="E390">
            <v>32</v>
          </cell>
          <cell r="F390" t="str">
            <v>M</v>
          </cell>
          <cell r="G390">
            <v>35644</v>
          </cell>
          <cell r="H390">
            <v>1</v>
          </cell>
          <cell r="I390">
            <v>100000000</v>
          </cell>
          <cell r="J390">
            <v>1010000</v>
          </cell>
          <cell r="K390">
            <v>1010000</v>
          </cell>
          <cell r="L390">
            <v>1010000</v>
          </cell>
          <cell r="M390">
            <v>20</v>
          </cell>
          <cell r="N390">
            <v>53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T390">
            <v>35400</v>
          </cell>
          <cell r="U390">
            <v>35400</v>
          </cell>
          <cell r="W390">
            <v>3835430.9234571331</v>
          </cell>
          <cell r="X390">
            <v>0</v>
          </cell>
          <cell r="Y390">
            <v>0</v>
          </cell>
          <cell r="Z390">
            <v>70800</v>
          </cell>
          <cell r="AB390">
            <v>668990.66195617954</v>
          </cell>
          <cell r="AC390">
            <v>0</v>
          </cell>
          <cell r="AD390">
            <v>0</v>
          </cell>
          <cell r="AE390">
            <v>35400</v>
          </cell>
          <cell r="AH390">
            <v>74</v>
          </cell>
          <cell r="AI390">
            <v>72</v>
          </cell>
          <cell r="AJ390">
            <v>1</v>
          </cell>
          <cell r="AK390">
            <v>6.6899066195617958E-3</v>
          </cell>
          <cell r="AL390">
            <v>0</v>
          </cell>
          <cell r="AM390">
            <v>0</v>
          </cell>
          <cell r="AN390">
            <v>5.352435464478042E-3</v>
          </cell>
          <cell r="AO390">
            <v>1.1098905628141087E-2</v>
          </cell>
          <cell r="AP390">
            <v>1.7257253590287069E-2</v>
          </cell>
          <cell r="AQ390">
            <v>2.3837708111554064E-2</v>
          </cell>
          <cell r="AR390">
            <v>3.0861946303211263E-2</v>
          </cell>
          <cell r="AS390">
            <v>3.8354309234571331E-2</v>
          </cell>
          <cell r="AT390">
            <v>4.6332559704147069E-2</v>
          </cell>
          <cell r="AU390">
            <v>5.4817162354258604E-2</v>
          </cell>
          <cell r="AW390">
            <v>0</v>
          </cell>
          <cell r="AY390">
            <v>0</v>
          </cell>
          <cell r="AZ390">
            <v>0</v>
          </cell>
          <cell r="BA390">
            <v>1</v>
          </cell>
          <cell r="BC390">
            <v>0.21828614938816021</v>
          </cell>
          <cell r="BD390">
            <v>0.27285768673520022</v>
          </cell>
          <cell r="BE390">
            <v>0.41710653837050449</v>
          </cell>
          <cell r="BF390">
            <v>0.63200739617239243</v>
          </cell>
          <cell r="BG390">
            <v>0.92491627066506665</v>
          </cell>
          <cell r="BH390">
            <v>1.3038207896808134</v>
          </cell>
          <cell r="BI390">
            <v>1.7769714534830221</v>
          </cell>
          <cell r="BJ390">
            <v>2.3532137420334638</v>
          </cell>
          <cell r="BL390">
            <v>92491.62706650667</v>
          </cell>
        </row>
        <row r="391">
          <cell r="A391">
            <v>10002335</v>
          </cell>
          <cell r="B391" t="str">
            <v/>
          </cell>
          <cell r="C391" t="str">
            <v>LSPL</v>
          </cell>
          <cell r="D391" t="str">
            <v>RPH</v>
          </cell>
          <cell r="E391">
            <v>28</v>
          </cell>
          <cell r="F391" t="str">
            <v>F</v>
          </cell>
          <cell r="G391">
            <v>35090</v>
          </cell>
          <cell r="H391">
            <v>1</v>
          </cell>
          <cell r="I391">
            <v>298500000</v>
          </cell>
          <cell r="J391">
            <v>1611900</v>
          </cell>
          <cell r="K391">
            <v>1611900</v>
          </cell>
          <cell r="L391">
            <v>1611900</v>
          </cell>
          <cell r="M391">
            <v>20</v>
          </cell>
          <cell r="N391">
            <v>57</v>
          </cell>
          <cell r="O391">
            <v>298500000</v>
          </cell>
          <cell r="P391">
            <v>746300</v>
          </cell>
          <cell r="Q391">
            <v>0</v>
          </cell>
          <cell r="R391">
            <v>0</v>
          </cell>
          <cell r="T391">
            <v>48400</v>
          </cell>
          <cell r="U391">
            <v>48400</v>
          </cell>
          <cell r="W391">
            <v>9136528.8987933975</v>
          </cell>
          <cell r="X391">
            <v>746300</v>
          </cell>
          <cell r="Y391">
            <v>0</v>
          </cell>
          <cell r="Z391">
            <v>96800</v>
          </cell>
          <cell r="AB391">
            <v>1366521.8371418144</v>
          </cell>
          <cell r="AC391">
            <v>746300</v>
          </cell>
          <cell r="AD391">
            <v>0</v>
          </cell>
          <cell r="AE391">
            <v>48400</v>
          </cell>
          <cell r="AH391">
            <v>93</v>
          </cell>
          <cell r="AI391">
            <v>84</v>
          </cell>
          <cell r="AJ391">
            <v>1</v>
          </cell>
          <cell r="AK391">
            <v>4.5779626034901655E-3</v>
          </cell>
          <cell r="AL391">
            <v>0</v>
          </cell>
          <cell r="AM391">
            <v>0</v>
          </cell>
          <cell r="AN391">
            <v>3.4772577150156622E-3</v>
          </cell>
          <cell r="AO391">
            <v>7.2160590482018699E-3</v>
          </cell>
          <cell r="AP391">
            <v>1.1240839891887754E-2</v>
          </cell>
          <cell r="AQ391">
            <v>1.5578329886635191E-2</v>
          </cell>
          <cell r="AR391">
            <v>2.0235195345193045E-2</v>
          </cell>
          <cell r="AS391">
            <v>2.5241576943776045E-2</v>
          </cell>
          <cell r="AT391">
            <v>3.0608137014383238E-2</v>
          </cell>
          <cell r="AU391">
            <v>3.6335899621389611E-2</v>
          </cell>
          <cell r="AW391">
            <v>0</v>
          </cell>
          <cell r="AY391">
            <v>1</v>
          </cell>
          <cell r="AZ391">
            <v>0</v>
          </cell>
          <cell r="BA391">
            <v>1</v>
          </cell>
          <cell r="BC391">
            <v>0.15719374006660886</v>
          </cell>
          <cell r="BD391">
            <v>0.19649217508326106</v>
          </cell>
          <cell r="BE391">
            <v>0.28820556150702947</v>
          </cell>
          <cell r="BF391">
            <v>0.4259723735947083</v>
          </cell>
          <cell r="BG391">
            <v>0.61475346977508116</v>
          </cell>
          <cell r="BH391">
            <v>0.86068611875309764</v>
          </cell>
          <cell r="BI391">
            <v>1.1696449072007065</v>
          </cell>
          <cell r="BJ391">
            <v>1.5472454333905881</v>
          </cell>
          <cell r="BL391">
            <v>256914.80644779967</v>
          </cell>
        </row>
        <row r="392">
          <cell r="A392">
            <v>10002337</v>
          </cell>
          <cell r="B392" t="str">
            <v/>
          </cell>
          <cell r="C392" t="str">
            <v>LSPL</v>
          </cell>
          <cell r="D392" t="str">
            <v>RPH</v>
          </cell>
          <cell r="E392">
            <v>27</v>
          </cell>
          <cell r="F392" t="str">
            <v>F</v>
          </cell>
          <cell r="G392">
            <v>34995</v>
          </cell>
          <cell r="H392">
            <v>1</v>
          </cell>
          <cell r="I392">
            <v>170000000</v>
          </cell>
          <cell r="J392">
            <v>1037000</v>
          </cell>
          <cell r="K392">
            <v>1037000</v>
          </cell>
          <cell r="L392">
            <v>1037000</v>
          </cell>
          <cell r="M392">
            <v>20</v>
          </cell>
          <cell r="N392">
            <v>58</v>
          </cell>
          <cell r="O392">
            <v>170000000</v>
          </cell>
          <cell r="P392">
            <v>425000</v>
          </cell>
          <cell r="Q392">
            <v>0</v>
          </cell>
          <cell r="R392">
            <v>0</v>
          </cell>
          <cell r="T392">
            <v>30100</v>
          </cell>
          <cell r="U392">
            <v>30100</v>
          </cell>
          <cell r="W392">
            <v>5802465.6674108319</v>
          </cell>
          <cell r="X392">
            <v>425000</v>
          </cell>
          <cell r="Y392">
            <v>0</v>
          </cell>
          <cell r="Z392">
            <v>60200</v>
          </cell>
          <cell r="AB392">
            <v>736275.21778192034</v>
          </cell>
          <cell r="AC392">
            <v>425000</v>
          </cell>
          <cell r="AD392">
            <v>0</v>
          </cell>
          <cell r="AE392">
            <v>30100</v>
          </cell>
          <cell r="AH392">
            <v>96</v>
          </cell>
          <cell r="AI392">
            <v>96</v>
          </cell>
          <cell r="AJ392">
            <v>1</v>
          </cell>
          <cell r="AK392">
            <v>4.3310306928348256E-3</v>
          </cell>
          <cell r="AL392">
            <v>0</v>
          </cell>
          <cell r="AM392">
            <v>0</v>
          </cell>
          <cell r="AN392">
            <v>3.2536127731920342E-3</v>
          </cell>
          <cell r="AO392">
            <v>6.7595223328705822E-3</v>
          </cell>
          <cell r="AP392">
            <v>1.0529792486080776E-2</v>
          </cell>
          <cell r="AQ392">
            <v>1.4589121300101107E-2</v>
          </cell>
          <cell r="AR392">
            <v>1.8964525202154407E-2</v>
          </cell>
          <cell r="AS392">
            <v>2.3663063210484031E-2</v>
          </cell>
          <cell r="AT392">
            <v>2.8715228600371095E-2</v>
          </cell>
          <cell r="AU392">
            <v>3.4132150984769599E-2</v>
          </cell>
          <cell r="AW392">
            <v>0</v>
          </cell>
          <cell r="AY392">
            <v>1</v>
          </cell>
          <cell r="AZ392">
            <v>0</v>
          </cell>
          <cell r="BA392">
            <v>1</v>
          </cell>
          <cell r="BC392">
            <v>0.15079220703829241</v>
          </cell>
          <cell r="BD392">
            <v>0.18849025879786549</v>
          </cell>
          <cell r="BE392">
            <v>0.27398207017260129</v>
          </cell>
          <cell r="BF392">
            <v>0.40227134716091478</v>
          </cell>
          <cell r="BG392">
            <v>0.57869551415088649</v>
          </cell>
          <cell r="BH392">
            <v>0.80833574518237772</v>
          </cell>
          <cell r="BI392">
            <v>1.0975856525669236</v>
          </cell>
          <cell r="BJ392">
            <v>1.4524889566884702</v>
          </cell>
          <cell r="BL392">
            <v>186589.56093637701</v>
          </cell>
        </row>
        <row r="393">
          <cell r="A393">
            <v>10002338</v>
          </cell>
          <cell r="B393" t="str">
            <v/>
          </cell>
          <cell r="C393" t="str">
            <v>LSPL</v>
          </cell>
          <cell r="D393" t="str">
            <v>RPH</v>
          </cell>
          <cell r="E393">
            <v>18</v>
          </cell>
          <cell r="F393" t="str">
            <v>F</v>
          </cell>
          <cell r="G393">
            <v>35262</v>
          </cell>
          <cell r="H393">
            <v>1</v>
          </cell>
          <cell r="I393">
            <v>75000000</v>
          </cell>
          <cell r="J393">
            <v>322500</v>
          </cell>
          <cell r="K393">
            <v>322500</v>
          </cell>
          <cell r="L393">
            <v>322500</v>
          </cell>
          <cell r="M393">
            <v>20</v>
          </cell>
          <cell r="N393">
            <v>67</v>
          </cell>
          <cell r="O393">
            <v>75000000</v>
          </cell>
          <cell r="P393">
            <v>187500</v>
          </cell>
          <cell r="Q393">
            <v>0</v>
          </cell>
          <cell r="R393">
            <v>0</v>
          </cell>
          <cell r="T393">
            <v>8700</v>
          </cell>
          <cell r="U393">
            <v>8700</v>
          </cell>
          <cell r="W393">
            <v>1210783.0873735792</v>
          </cell>
          <cell r="X393">
            <v>187500</v>
          </cell>
          <cell r="Y393">
            <v>0</v>
          </cell>
          <cell r="Z393">
            <v>17400</v>
          </cell>
          <cell r="AB393">
            <v>206585.16429803753</v>
          </cell>
          <cell r="AC393">
            <v>187500</v>
          </cell>
          <cell r="AD393">
            <v>0</v>
          </cell>
          <cell r="AE393">
            <v>8700</v>
          </cell>
          <cell r="AH393">
            <v>87</v>
          </cell>
          <cell r="AI393">
            <v>84</v>
          </cell>
          <cell r="AJ393">
            <v>1</v>
          </cell>
          <cell r="AK393">
            <v>2.754468857307167E-3</v>
          </cell>
          <cell r="AL393">
            <v>0</v>
          </cell>
          <cell r="AM393">
            <v>0</v>
          </cell>
          <cell r="AN393">
            <v>1.8200268762997608E-3</v>
          </cell>
          <cell r="AO393">
            <v>3.7717981716028255E-3</v>
          </cell>
          <cell r="AP393">
            <v>5.8789326959202901E-3</v>
          </cell>
          <cell r="AQ393">
            <v>8.155724684744195E-3</v>
          </cell>
          <cell r="AR393">
            <v>1.0617786670067061E-2</v>
          </cell>
          <cell r="AS393">
            <v>1.3270809169965231E-2</v>
          </cell>
          <cell r="AT393">
            <v>1.6143774498314389E-2</v>
          </cell>
          <cell r="AU393">
            <v>1.9245644246687846E-2</v>
          </cell>
          <cell r="AW393">
            <v>0</v>
          </cell>
          <cell r="AY393">
            <v>1</v>
          </cell>
          <cell r="AZ393">
            <v>0</v>
          </cell>
          <cell r="BA393">
            <v>1</v>
          </cell>
          <cell r="BC393">
            <v>9.6726342636511572E-2</v>
          </cell>
          <cell r="BD393">
            <v>0.12090792829563946</v>
          </cell>
          <cell r="BE393">
            <v>0.16680177934972978</v>
          </cell>
          <cell r="BF393">
            <v>0.23589919671089737</v>
          </cell>
          <cell r="BG393">
            <v>0.33119980327772225</v>
          </cell>
          <cell r="BH393">
            <v>0.45561106316616273</v>
          </cell>
          <cell r="BI393">
            <v>0.61328836217566751</v>
          </cell>
          <cell r="BJ393">
            <v>0.80794504938049694</v>
          </cell>
          <cell r="BL393">
            <v>34170.829737462205</v>
          </cell>
        </row>
        <row r="394">
          <cell r="A394">
            <v>10002346</v>
          </cell>
          <cell r="B394" t="str">
            <v/>
          </cell>
          <cell r="C394" t="str">
            <v>LSPL</v>
          </cell>
          <cell r="D394" t="str">
            <v>RPH</v>
          </cell>
          <cell r="E394">
            <v>23</v>
          </cell>
          <cell r="F394" t="str">
            <v>F</v>
          </cell>
          <cell r="G394">
            <v>35305</v>
          </cell>
          <cell r="H394">
            <v>1</v>
          </cell>
          <cell r="I394">
            <v>100000000</v>
          </cell>
          <cell r="J394">
            <v>520000</v>
          </cell>
          <cell r="K394">
            <v>520000</v>
          </cell>
          <cell r="L394">
            <v>520000</v>
          </cell>
          <cell r="M394">
            <v>20</v>
          </cell>
          <cell r="N394">
            <v>62</v>
          </cell>
          <cell r="O394">
            <v>100000000</v>
          </cell>
          <cell r="P394">
            <v>250000</v>
          </cell>
          <cell r="Q394">
            <v>0</v>
          </cell>
          <cell r="R394">
            <v>0</v>
          </cell>
          <cell r="T394">
            <v>14000</v>
          </cell>
          <cell r="U394">
            <v>14000</v>
          </cell>
          <cell r="W394">
            <v>2220326.3290420091</v>
          </cell>
          <cell r="X394">
            <v>250000</v>
          </cell>
          <cell r="Y394">
            <v>0</v>
          </cell>
          <cell r="Z394">
            <v>28000</v>
          </cell>
          <cell r="AB394">
            <v>350216.83845956874</v>
          </cell>
          <cell r="AC394">
            <v>250000</v>
          </cell>
          <cell r="AD394">
            <v>0</v>
          </cell>
          <cell r="AE394">
            <v>14000</v>
          </cell>
          <cell r="AH394">
            <v>86</v>
          </cell>
          <cell r="AI394">
            <v>84</v>
          </cell>
          <cell r="AJ394">
            <v>1</v>
          </cell>
          <cell r="AK394">
            <v>3.5021683845956873E-3</v>
          </cell>
          <cell r="AL394">
            <v>0</v>
          </cell>
          <cell r="AM394">
            <v>2.7755575615628914E-17</v>
          </cell>
          <cell r="AN394">
            <v>2.4981673655503078E-3</v>
          </cell>
          <cell r="AO394">
            <v>5.2018650771203864E-3</v>
          </cell>
          <cell r="AP394">
            <v>8.1186001414656692E-3</v>
          </cell>
          <cell r="AQ394">
            <v>1.1256689732966074E-2</v>
          </cell>
          <cell r="AR394">
            <v>1.4636700571383315E-2</v>
          </cell>
          <cell r="AS394">
            <v>1.8281117898987786E-2</v>
          </cell>
          <cell r="AT394">
            <v>2.2203263290420092E-2</v>
          </cell>
          <cell r="AU394">
            <v>2.6429079212120541E-2</v>
          </cell>
          <cell r="AW394">
            <v>0</v>
          </cell>
          <cell r="AY394">
            <v>1</v>
          </cell>
          <cell r="AZ394">
            <v>0</v>
          </cell>
          <cell r="BA394">
            <v>1</v>
          </cell>
          <cell r="BC394">
            <v>0.12451231690287766</v>
          </cell>
          <cell r="BD394">
            <v>0.15564039612859706</v>
          </cell>
          <cell r="BE394">
            <v>0.22058654750825846</v>
          </cell>
          <cell r="BF394">
            <v>0.3179520031302393</v>
          </cell>
          <cell r="BG394">
            <v>0.45172987145543175</v>
          </cell>
          <cell r="BH394">
            <v>0.62644588895422293</v>
          </cell>
          <cell r="BI394">
            <v>0.84667934661014566</v>
          </cell>
          <cell r="BJ394">
            <v>1.1179926304083798</v>
          </cell>
          <cell r="BL394">
            <v>62644.588895422297</v>
          </cell>
        </row>
        <row r="395">
          <cell r="A395">
            <v>10002347</v>
          </cell>
          <cell r="B395" t="str">
            <v/>
          </cell>
          <cell r="C395" t="str">
            <v>LSPL</v>
          </cell>
          <cell r="D395" t="str">
            <v>RPH</v>
          </cell>
          <cell r="E395">
            <v>32</v>
          </cell>
          <cell r="F395" t="str">
            <v>F</v>
          </cell>
          <cell r="G395">
            <v>35309</v>
          </cell>
          <cell r="H395">
            <v>1</v>
          </cell>
          <cell r="I395">
            <v>191000000</v>
          </cell>
          <cell r="J395">
            <v>1489800</v>
          </cell>
          <cell r="K395">
            <v>1489800</v>
          </cell>
          <cell r="L395">
            <v>1489800</v>
          </cell>
          <cell r="M395">
            <v>20</v>
          </cell>
          <cell r="N395">
            <v>53</v>
          </cell>
          <cell r="O395">
            <v>191000000</v>
          </cell>
          <cell r="P395">
            <v>477500</v>
          </cell>
          <cell r="Q395">
            <v>0</v>
          </cell>
          <cell r="R395">
            <v>0</v>
          </cell>
          <cell r="T395">
            <v>52200</v>
          </cell>
          <cell r="U395">
            <v>52200</v>
          </cell>
          <cell r="W395">
            <v>7426920.416192079</v>
          </cell>
          <cell r="X395">
            <v>477500</v>
          </cell>
          <cell r="Y395">
            <v>0</v>
          </cell>
          <cell r="Z395">
            <v>104400</v>
          </cell>
          <cell r="AB395">
            <v>1100749.8524791608</v>
          </cell>
          <cell r="AC395">
            <v>477500</v>
          </cell>
          <cell r="AD395">
            <v>0</v>
          </cell>
          <cell r="AE395">
            <v>52200</v>
          </cell>
          <cell r="AH395">
            <v>85</v>
          </cell>
          <cell r="AI395">
            <v>84</v>
          </cell>
          <cell r="AJ395">
            <v>1</v>
          </cell>
          <cell r="AK395">
            <v>5.7630882328751874E-3</v>
          </cell>
          <cell r="AL395">
            <v>0</v>
          </cell>
          <cell r="AM395">
            <v>0</v>
          </cell>
          <cell r="AN395">
            <v>4.5187689135798431E-3</v>
          </cell>
          <cell r="AO395">
            <v>9.373078544561271E-3</v>
          </cell>
          <cell r="AP395">
            <v>1.4571909871203839E-2</v>
          </cell>
          <cell r="AQ395">
            <v>2.0114247052527047E-2</v>
          </cell>
          <cell r="AR395">
            <v>2.6010924083973694E-2</v>
          </cell>
          <cell r="AS395">
            <v>3.2263202139004736E-2</v>
          </cell>
          <cell r="AT395">
            <v>3.8884400084775284E-2</v>
          </cell>
          <cell r="AU395">
            <v>4.5889778577008801E-2</v>
          </cell>
          <cell r="AW395">
            <v>0</v>
          </cell>
          <cell r="AY395">
            <v>1</v>
          </cell>
          <cell r="AZ395">
            <v>0</v>
          </cell>
          <cell r="BA395">
            <v>1</v>
          </cell>
          <cell r="BC395">
            <v>0.18682670824424638</v>
          </cell>
          <cell r="BD395">
            <v>0.23353338530530796</v>
          </cell>
          <cell r="BE395">
            <v>0.35434678115730922</v>
          </cell>
          <cell r="BF395">
            <v>0.53389857897603699</v>
          </cell>
          <cell r="BG395">
            <v>0.77783945432398083</v>
          </cell>
          <cell r="BH395">
            <v>1.0916647940182616</v>
          </cell>
          <cell r="BI395">
            <v>1.4815086217119195</v>
          </cell>
          <cell r="BJ395">
            <v>1.9539306090732926</v>
          </cell>
          <cell r="BL395">
            <v>208507.97565748796</v>
          </cell>
        </row>
        <row r="396">
          <cell r="A396">
            <v>10002350</v>
          </cell>
          <cell r="B396" t="str">
            <v/>
          </cell>
          <cell r="C396" t="str">
            <v>LSPL</v>
          </cell>
          <cell r="D396" t="str">
            <v>RPH</v>
          </cell>
          <cell r="E396">
            <v>27</v>
          </cell>
          <cell r="F396" t="str">
            <v>M</v>
          </cell>
          <cell r="G396">
            <v>35290</v>
          </cell>
          <cell r="H396">
            <v>1</v>
          </cell>
          <cell r="I396">
            <v>360000000</v>
          </cell>
          <cell r="J396">
            <v>2124000</v>
          </cell>
          <cell r="K396">
            <v>2124000</v>
          </cell>
          <cell r="L396">
            <v>2124000</v>
          </cell>
          <cell r="M396">
            <v>20</v>
          </cell>
          <cell r="N396">
            <v>58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T396">
            <v>61600</v>
          </cell>
          <cell r="U396">
            <v>61600</v>
          </cell>
          <cell r="W396">
            <v>12135726.972782167</v>
          </cell>
          <cell r="X396">
            <v>0</v>
          </cell>
          <cell r="Y396">
            <v>0</v>
          </cell>
          <cell r="Z396">
            <v>123200</v>
          </cell>
          <cell r="AB396">
            <v>1799469.1589278779</v>
          </cell>
          <cell r="AC396">
            <v>0</v>
          </cell>
          <cell r="AD396">
            <v>0</v>
          </cell>
          <cell r="AE396">
            <v>61600</v>
          </cell>
          <cell r="AH396">
            <v>86</v>
          </cell>
          <cell r="AI396">
            <v>84</v>
          </cell>
          <cell r="AJ396">
            <v>1</v>
          </cell>
          <cell r="AK396">
            <v>4.9985254414663272E-3</v>
          </cell>
          <cell r="AL396">
            <v>0</v>
          </cell>
          <cell r="AM396">
            <v>2.7755575615628914E-17</v>
          </cell>
          <cell r="AN396">
            <v>3.7547758501435963E-3</v>
          </cell>
          <cell r="AO396">
            <v>7.8345738749195509E-3</v>
          </cell>
          <cell r="AP396">
            <v>1.225953243662474E-2</v>
          </cell>
          <cell r="AQ396">
            <v>1.7041958612622012E-2</v>
          </cell>
          <cell r="AR396">
            <v>2.219563345351426E-2</v>
          </cell>
          <cell r="AS396">
            <v>2.7745737383426554E-2</v>
          </cell>
          <cell r="AT396">
            <v>3.3710352702172687E-2</v>
          </cell>
          <cell r="AU396">
            <v>4.0109715258677868E-2</v>
          </cell>
          <cell r="AW396">
            <v>0</v>
          </cell>
          <cell r="AY396">
            <v>0</v>
          </cell>
          <cell r="AZ396">
            <v>0</v>
          </cell>
          <cell r="BA396">
            <v>1</v>
          </cell>
          <cell r="BC396">
            <v>0.17440112442562727</v>
          </cell>
          <cell r="BD396">
            <v>0.21800140553203409</v>
          </cell>
          <cell r="BE396">
            <v>0.31882952388352087</v>
          </cell>
          <cell r="BF396">
            <v>0.47072642977287493</v>
          </cell>
          <cell r="BG396">
            <v>0.67961340454806074</v>
          </cell>
          <cell r="BH396">
            <v>0.95222804544529027</v>
          </cell>
          <cell r="BI396">
            <v>1.295543838872897</v>
          </cell>
          <cell r="BJ396">
            <v>1.7170840605988862</v>
          </cell>
          <cell r="BL396">
            <v>342802.09636030445</v>
          </cell>
        </row>
        <row r="397">
          <cell r="A397">
            <v>10002351</v>
          </cell>
          <cell r="B397" t="str">
            <v/>
          </cell>
          <cell r="C397" t="str">
            <v>LSPL</v>
          </cell>
          <cell r="D397" t="str">
            <v>RPH</v>
          </cell>
          <cell r="E397">
            <v>25</v>
          </cell>
          <cell r="F397" t="str">
            <v>M</v>
          </cell>
          <cell r="G397">
            <v>35305</v>
          </cell>
          <cell r="H397">
            <v>1</v>
          </cell>
          <cell r="I397">
            <v>344000000</v>
          </cell>
          <cell r="J397">
            <v>2132800</v>
          </cell>
          <cell r="K397">
            <v>2132800</v>
          </cell>
          <cell r="L397">
            <v>2132800</v>
          </cell>
          <cell r="M397">
            <v>20</v>
          </cell>
          <cell r="N397">
            <v>60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T397">
            <v>59700</v>
          </cell>
          <cell r="U397">
            <v>59700</v>
          </cell>
          <cell r="W397">
            <v>10084576.261887686</v>
          </cell>
          <cell r="X397">
            <v>0</v>
          </cell>
          <cell r="Y397">
            <v>0</v>
          </cell>
          <cell r="Z397">
            <v>119400</v>
          </cell>
          <cell r="AB397">
            <v>1548509.3209451102</v>
          </cell>
          <cell r="AC397">
            <v>0</v>
          </cell>
          <cell r="AD397">
            <v>0</v>
          </cell>
          <cell r="AE397">
            <v>59700</v>
          </cell>
          <cell r="AH397">
            <v>86</v>
          </cell>
          <cell r="AI397">
            <v>84</v>
          </cell>
          <cell r="AJ397">
            <v>1</v>
          </cell>
          <cell r="AK397">
            <v>4.5014805841427624E-3</v>
          </cell>
          <cell r="AL397">
            <v>0</v>
          </cell>
          <cell r="AM397">
            <v>1.3877787807814457E-17</v>
          </cell>
          <cell r="AN397">
            <v>3.1921042560360061E-3</v>
          </cell>
          <cell r="AO397">
            <v>6.6874430033306009E-3</v>
          </cell>
          <cell r="AP397">
            <v>1.0513800170636009E-2</v>
          </cell>
          <cell r="AQ397">
            <v>1.4671891676392206E-2</v>
          </cell>
          <cell r="AR397">
            <v>1.9182545218114758E-2</v>
          </cell>
          <cell r="AS397">
            <v>2.4058894133901762E-2</v>
          </cell>
          <cell r="AT397">
            <v>2.9315628668278158E-2</v>
          </cell>
          <cell r="AU397">
            <v>3.4978857857961849E-2</v>
          </cell>
          <cell r="AW397">
            <v>0</v>
          </cell>
          <cell r="AY397">
            <v>0</v>
          </cell>
          <cell r="AZ397">
            <v>0</v>
          </cell>
          <cell r="BA397">
            <v>1</v>
          </cell>
          <cell r="BC397">
            <v>0.16065116640341157</v>
          </cell>
          <cell r="BD397">
            <v>0.20081395800426444</v>
          </cell>
          <cell r="BE397">
            <v>0.28679514188965249</v>
          </cell>
          <cell r="BF397">
            <v>0.41704105037921058</v>
          </cell>
          <cell r="BG397">
            <v>0.59729575859169948</v>
          </cell>
          <cell r="BH397">
            <v>0.83344297923457544</v>
          </cell>
          <cell r="BI397">
            <v>1.131750752152866</v>
          </cell>
          <cell r="BJ397">
            <v>1.4994529731220798</v>
          </cell>
          <cell r="BL397">
            <v>286704.38485669391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"/>
      <sheetName val="RBC rinci"/>
      <sheetName val="MENU"/>
      <sheetName val="WS"/>
      <sheetName val="AJP"/>
      <sheetName val="ws pivot"/>
      <sheetName val="EXPENSE"/>
      <sheetName val="TB"/>
      <sheetName val="zakat"/>
      <sheetName val="Sheet1"/>
      <sheetName val="FS"/>
      <sheetName val="FORMAT 1"/>
      <sheetName val="FORMAT 3"/>
      <sheetName val="FORMAT 2"/>
      <sheetName val="BUDGET"/>
      <sheetName val="FORMAT 1 (2)"/>
      <sheetName val="DPS_DPT"/>
      <sheetName val="FORMAT 4"/>
      <sheetName val="CASH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VALUE</v>
          </cell>
          <cell r="B4" t="str">
            <v>NOREK</v>
          </cell>
          <cell r="C4" t="str">
            <v>KETRA</v>
          </cell>
          <cell r="D4" t="str">
            <v>SO AWAL</v>
          </cell>
          <cell r="E4" t="str">
            <v>MUT DR</v>
          </cell>
          <cell r="F4" t="str">
            <v>MUT CR</v>
          </cell>
          <cell r="G4" t="str">
            <v xml:space="preserve">  </v>
          </cell>
          <cell r="H4" t="str">
            <v>MUT DB-CR</v>
          </cell>
        </row>
        <row r="5">
          <cell r="A5">
            <v>1010101</v>
          </cell>
          <cell r="B5">
            <v>1010101</v>
          </cell>
          <cell r="C5" t="str">
            <v> INVESTASI DEP. WAJIB RP FAMILY TAKAFUL FUN</v>
          </cell>
          <cell r="D5">
            <v>12500000000.110001</v>
          </cell>
          <cell r="E5">
            <v>0</v>
          </cell>
          <cell r="F5">
            <v>0</v>
          </cell>
          <cell r="G5">
            <v>12500000000.110001</v>
          </cell>
          <cell r="H5">
            <v>0</v>
          </cell>
        </row>
        <row r="6">
          <cell r="A6">
            <v>1010105</v>
          </cell>
          <cell r="B6">
            <v>1010105</v>
          </cell>
          <cell r="C6" t="str">
            <v xml:space="preserve"> INVESTASI DEP. WAJIB RUPIAH DPS </v>
          </cell>
          <cell r="D6">
            <v>0.06</v>
          </cell>
          <cell r="E6">
            <v>0</v>
          </cell>
          <cell r="F6">
            <v>0</v>
          </cell>
          <cell r="G6">
            <v>0.06</v>
          </cell>
          <cell r="H6">
            <v>0</v>
          </cell>
        </row>
        <row r="7">
          <cell r="A7">
            <v>1020101</v>
          </cell>
          <cell r="B7">
            <v>1020101</v>
          </cell>
          <cell r="C7" t="str">
            <v> INVESTASI DEPOSITO BIASA RUPIAH FAMILY TAK</v>
          </cell>
          <cell r="D7">
            <v>62166842499.889999</v>
          </cell>
          <cell r="E7">
            <v>350000000</v>
          </cell>
          <cell r="F7">
            <v>1400000000</v>
          </cell>
          <cell r="G7">
            <v>61116842499.889999</v>
          </cell>
          <cell r="H7">
            <v>-1050000000</v>
          </cell>
        </row>
        <row r="8">
          <cell r="A8">
            <v>1020201</v>
          </cell>
          <cell r="B8">
            <v>1020201</v>
          </cell>
          <cell r="C8" t="str">
            <v xml:space="preserve"> INVESTASI DEP. BS $ FAMILY TAKAFUL FUND </v>
          </cell>
          <cell r="D8">
            <v>11072337500</v>
          </cell>
          <cell r="E8">
            <v>36580000</v>
          </cell>
          <cell r="F8">
            <v>0</v>
          </cell>
          <cell r="G8">
            <v>11108917500</v>
          </cell>
          <cell r="H8">
            <v>36580000</v>
          </cell>
        </row>
        <row r="9">
          <cell r="A9">
            <v>1020301</v>
          </cell>
          <cell r="B9">
            <v>1020301</v>
          </cell>
          <cell r="C9" t="str">
            <v xml:space="preserve"> INVESTASI DEPOSITS ON CALLS DPT </v>
          </cell>
          <cell r="D9">
            <v>10470000000</v>
          </cell>
          <cell r="E9">
            <v>37780000000</v>
          </cell>
          <cell r="F9">
            <v>9480000000</v>
          </cell>
          <cell r="G9">
            <v>38770000000</v>
          </cell>
          <cell r="H9">
            <v>28300000000</v>
          </cell>
        </row>
        <row r="10">
          <cell r="A10">
            <v>1030101</v>
          </cell>
          <cell r="B10">
            <v>1030101</v>
          </cell>
          <cell r="C10" t="str">
            <v> INVESTASI SERT DEP RUPIAH FAMILY TAKAFUL F</v>
          </cell>
          <cell r="D10">
            <v>-5142941350</v>
          </cell>
          <cell r="E10">
            <v>0</v>
          </cell>
          <cell r="F10">
            <v>0</v>
          </cell>
          <cell r="G10">
            <v>-5142941350</v>
          </cell>
          <cell r="H10">
            <v>0</v>
          </cell>
        </row>
        <row r="11">
          <cell r="A11">
            <v>1050101</v>
          </cell>
          <cell r="B11">
            <v>1050101</v>
          </cell>
          <cell r="C11" t="str">
            <v xml:space="preserve"> INVESTASI SAHAM FAMILY TAKAFUL FUND </v>
          </cell>
          <cell r="D11">
            <v>977016251.58000004</v>
          </cell>
          <cell r="E11">
            <v>97566000</v>
          </cell>
          <cell r="F11">
            <v>0</v>
          </cell>
          <cell r="G11">
            <v>1074582251.5799999</v>
          </cell>
          <cell r="H11">
            <v>97566000</v>
          </cell>
        </row>
        <row r="12">
          <cell r="A12">
            <v>1050102</v>
          </cell>
          <cell r="B12">
            <v>1050102</v>
          </cell>
          <cell r="C12" t="str">
            <v> INVESTASI SAHAM GRUP BANK ASSURANCE TAKAF</v>
          </cell>
          <cell r="D12">
            <v>-0.06</v>
          </cell>
          <cell r="E12">
            <v>0</v>
          </cell>
          <cell r="F12">
            <v>0</v>
          </cell>
          <cell r="G12">
            <v>-0.06</v>
          </cell>
          <cell r="H12">
            <v>0</v>
          </cell>
        </row>
        <row r="13">
          <cell r="A13">
            <v>1050103</v>
          </cell>
          <cell r="B13">
            <v>1050103</v>
          </cell>
          <cell r="C13" t="str">
            <v xml:space="preserve"> INVESTASI SAHAM GRP NON BANK ASR TAKAFUL </v>
          </cell>
          <cell r="D13">
            <v>-0.04</v>
          </cell>
          <cell r="E13">
            <v>0</v>
          </cell>
          <cell r="F13">
            <v>0</v>
          </cell>
          <cell r="G13">
            <v>-0.04</v>
          </cell>
          <cell r="H13">
            <v>0</v>
          </cell>
        </row>
        <row r="14">
          <cell r="A14">
            <v>1050104</v>
          </cell>
          <cell r="B14">
            <v>1050104</v>
          </cell>
          <cell r="C14" t="str">
            <v xml:space="preserve"> INVESTASI SAHAM HEALTH TAKAFUL FUND </v>
          </cell>
          <cell r="D14">
            <v>0.2</v>
          </cell>
          <cell r="E14">
            <v>0</v>
          </cell>
          <cell r="F14">
            <v>0</v>
          </cell>
          <cell r="G14">
            <v>0.2</v>
          </cell>
          <cell r="H14">
            <v>0</v>
          </cell>
        </row>
        <row r="15">
          <cell r="A15">
            <v>1050105</v>
          </cell>
          <cell r="B15">
            <v>1050105</v>
          </cell>
          <cell r="C15" t="str">
            <v xml:space="preserve"> INVESTASI SAHAM DPS </v>
          </cell>
          <cell r="D15">
            <v>-0.08</v>
          </cell>
          <cell r="E15">
            <v>0</v>
          </cell>
          <cell r="F15">
            <v>0</v>
          </cell>
          <cell r="G15">
            <v>-0.08</v>
          </cell>
          <cell r="H15">
            <v>0</v>
          </cell>
        </row>
        <row r="16">
          <cell r="A16">
            <v>1060101</v>
          </cell>
          <cell r="B16">
            <v>1060101</v>
          </cell>
          <cell r="C16" t="str">
            <v> INVESTASI OBLIGASI RUPIAH FAMILY TAKAFUL F</v>
          </cell>
          <cell r="D16">
            <v>37174650832.620003</v>
          </cell>
          <cell r="E16">
            <v>0</v>
          </cell>
          <cell r="F16">
            <v>0</v>
          </cell>
          <cell r="G16">
            <v>37174650832.620003</v>
          </cell>
          <cell r="H16">
            <v>0</v>
          </cell>
        </row>
        <row r="17">
          <cell r="A17">
            <v>1060102</v>
          </cell>
          <cell r="B17">
            <v>1060102</v>
          </cell>
          <cell r="C17" t="str">
            <v> INVESTASI OBL. RUPIAH GRUP BANK ASR TAKAFU</v>
          </cell>
          <cell r="D17">
            <v>-0.03</v>
          </cell>
          <cell r="E17">
            <v>0</v>
          </cell>
          <cell r="F17">
            <v>0</v>
          </cell>
          <cell r="G17">
            <v>-0.03</v>
          </cell>
          <cell r="H17">
            <v>0</v>
          </cell>
        </row>
        <row r="18">
          <cell r="A18">
            <v>1060103</v>
          </cell>
          <cell r="B18">
            <v>1060103</v>
          </cell>
          <cell r="C18" t="str">
            <v> INVESTASI OBL. RP GRUP NON BANK ASR TAKAFU</v>
          </cell>
          <cell r="D18">
            <v>-0.02</v>
          </cell>
          <cell r="E18">
            <v>0</v>
          </cell>
          <cell r="F18">
            <v>0</v>
          </cell>
          <cell r="G18">
            <v>-0.02</v>
          </cell>
          <cell r="H18">
            <v>0</v>
          </cell>
        </row>
        <row r="19">
          <cell r="A19">
            <v>1060104</v>
          </cell>
          <cell r="B19">
            <v>1060104</v>
          </cell>
          <cell r="C19" t="str">
            <v> INVESTASI OBLIGASI RUPIAH HEALTH TAKAFUL F</v>
          </cell>
          <cell r="D19">
            <v>0.11</v>
          </cell>
          <cell r="E19">
            <v>0</v>
          </cell>
          <cell r="F19">
            <v>0</v>
          </cell>
          <cell r="G19">
            <v>0.11</v>
          </cell>
          <cell r="H19">
            <v>0</v>
          </cell>
        </row>
        <row r="20">
          <cell r="A20">
            <v>1060105</v>
          </cell>
          <cell r="B20">
            <v>1060105</v>
          </cell>
          <cell r="C20" t="str">
            <v xml:space="preserve"> INVESTASI OBLIGASI RUPIAH DPS </v>
          </cell>
          <cell r="D20">
            <v>0.27</v>
          </cell>
          <cell r="E20">
            <v>0</v>
          </cell>
          <cell r="F20">
            <v>0</v>
          </cell>
          <cell r="G20">
            <v>0.27</v>
          </cell>
          <cell r="H20">
            <v>0</v>
          </cell>
        </row>
        <row r="21">
          <cell r="A21">
            <v>1080101</v>
          </cell>
          <cell r="B21">
            <v>1080101</v>
          </cell>
          <cell r="C21" t="str">
            <v xml:space="preserve"> INVESTASI REKSADANA FAMILY TAKAFUL FUND </v>
          </cell>
          <cell r="D21">
            <v>51289166045.269997</v>
          </cell>
          <cell r="E21">
            <v>59650000000</v>
          </cell>
          <cell r="F21">
            <v>68735520245.520004</v>
          </cell>
          <cell r="G21">
            <v>42203645799.75</v>
          </cell>
          <cell r="H21">
            <v>-9085520245.5200043</v>
          </cell>
        </row>
        <row r="22">
          <cell r="A22">
            <v>1080105</v>
          </cell>
          <cell r="B22">
            <v>1080105</v>
          </cell>
          <cell r="C22" t="str">
            <v xml:space="preserve"> INVESTASI REKSADANA DPS </v>
          </cell>
          <cell r="D22">
            <v>0.01</v>
          </cell>
          <cell r="E22">
            <v>0</v>
          </cell>
          <cell r="F22">
            <v>0</v>
          </cell>
          <cell r="G22">
            <v>0.01</v>
          </cell>
          <cell r="H22">
            <v>0</v>
          </cell>
        </row>
        <row r="23">
          <cell r="A23">
            <v>1090101</v>
          </cell>
          <cell r="B23">
            <v>1090101</v>
          </cell>
          <cell r="C23" t="str">
            <v> INVESTASI PENY LGS RUPIAH FAMILY TAKAFUL F</v>
          </cell>
          <cell r="D23">
            <v>24284330560.43</v>
          </cell>
          <cell r="E23">
            <v>0</v>
          </cell>
          <cell r="F23">
            <v>0</v>
          </cell>
          <cell r="G23">
            <v>24284330560.43</v>
          </cell>
          <cell r="H23">
            <v>0</v>
          </cell>
        </row>
        <row r="24">
          <cell r="A24">
            <v>1090102</v>
          </cell>
          <cell r="B24">
            <v>1090102</v>
          </cell>
          <cell r="C24" t="str">
            <v> INVESTASI PENY LGS RP GRP BANK ASR TAKAFUL</v>
          </cell>
          <cell r="D24">
            <v>-0.27</v>
          </cell>
          <cell r="E24">
            <v>0</v>
          </cell>
          <cell r="F24">
            <v>0</v>
          </cell>
          <cell r="G24">
            <v>-0.27</v>
          </cell>
          <cell r="H24">
            <v>0</v>
          </cell>
        </row>
        <row r="25">
          <cell r="A25">
            <v>1090103</v>
          </cell>
          <cell r="B25">
            <v>1090103</v>
          </cell>
          <cell r="C25" t="str">
            <v> INVESTASI PENY LGS RP GRP NON BANK ASR TAK</v>
          </cell>
          <cell r="D25">
            <v>0.15</v>
          </cell>
          <cell r="E25">
            <v>0</v>
          </cell>
          <cell r="F25">
            <v>0</v>
          </cell>
          <cell r="G25">
            <v>0.15</v>
          </cell>
          <cell r="H25">
            <v>0</v>
          </cell>
        </row>
        <row r="26">
          <cell r="A26">
            <v>1090104</v>
          </cell>
          <cell r="B26">
            <v>1090104</v>
          </cell>
          <cell r="C26" t="str">
            <v> INVESTASI PENY LGS RUPIAH HEALTH TAKAFUL F</v>
          </cell>
          <cell r="D26">
            <v>0.19</v>
          </cell>
          <cell r="E26">
            <v>0</v>
          </cell>
          <cell r="F26">
            <v>0</v>
          </cell>
          <cell r="G26">
            <v>0.19</v>
          </cell>
          <cell r="H26">
            <v>0</v>
          </cell>
        </row>
        <row r="27">
          <cell r="A27">
            <v>1090105</v>
          </cell>
          <cell r="B27">
            <v>1090105</v>
          </cell>
          <cell r="C27" t="str">
            <v xml:space="preserve"> INVESTASI PENYERTAAN LANGSUNG RUPIAH DPS </v>
          </cell>
          <cell r="D27">
            <v>0.1</v>
          </cell>
          <cell r="E27">
            <v>0</v>
          </cell>
          <cell r="F27">
            <v>0</v>
          </cell>
          <cell r="G27">
            <v>0.1</v>
          </cell>
          <cell r="H27">
            <v>0</v>
          </cell>
        </row>
        <row r="28">
          <cell r="A28">
            <v>1100101</v>
          </cell>
          <cell r="B28">
            <v>1100101</v>
          </cell>
          <cell r="C28" t="str">
            <v> INVESTASI TANAH DGN BANGUNAN FAMILY TAKAFU</v>
          </cell>
          <cell r="D28">
            <v>29147606487.040001</v>
          </cell>
          <cell r="E28">
            <v>0</v>
          </cell>
          <cell r="F28">
            <v>0</v>
          </cell>
          <cell r="G28">
            <v>29147606487.040001</v>
          </cell>
          <cell r="H28">
            <v>0</v>
          </cell>
        </row>
        <row r="29">
          <cell r="A29">
            <v>1100102</v>
          </cell>
          <cell r="B29">
            <v>1100102</v>
          </cell>
          <cell r="C29" t="str">
            <v> INVESTASI TANAH DGN BGN GRP BANK ASR TAKAF</v>
          </cell>
          <cell r="D29">
            <v>-0.42</v>
          </cell>
          <cell r="E29">
            <v>0</v>
          </cell>
          <cell r="F29">
            <v>0</v>
          </cell>
          <cell r="G29">
            <v>-0.42</v>
          </cell>
          <cell r="H29">
            <v>0</v>
          </cell>
        </row>
        <row r="30">
          <cell r="A30">
            <v>1100103</v>
          </cell>
          <cell r="B30">
            <v>1100103</v>
          </cell>
          <cell r="C30" t="str">
            <v> INVESTASI TANAH DG BGN GRP NON BANK ASR TA</v>
          </cell>
          <cell r="D30">
            <v>0.39</v>
          </cell>
          <cell r="E30">
            <v>0</v>
          </cell>
          <cell r="F30">
            <v>0</v>
          </cell>
          <cell r="G30">
            <v>0.39</v>
          </cell>
          <cell r="H30">
            <v>0</v>
          </cell>
        </row>
        <row r="31">
          <cell r="A31">
            <v>1100104</v>
          </cell>
          <cell r="B31">
            <v>1100104</v>
          </cell>
          <cell r="C31" t="str">
            <v> INVESTASI TANAH DGN BANGUNAN HEALTH TAKAFU</v>
          </cell>
          <cell r="D31">
            <v>0.11</v>
          </cell>
          <cell r="E31">
            <v>0</v>
          </cell>
          <cell r="F31">
            <v>0</v>
          </cell>
          <cell r="G31">
            <v>0.11</v>
          </cell>
          <cell r="H31">
            <v>0</v>
          </cell>
        </row>
        <row r="32">
          <cell r="A32">
            <v>1100105</v>
          </cell>
          <cell r="B32">
            <v>1100105</v>
          </cell>
          <cell r="C32" t="str">
            <v xml:space="preserve"> INVESTASI BANGUNAN, TANAH DENGAN BANGUNAN </v>
          </cell>
          <cell r="D32">
            <v>-0.04</v>
          </cell>
          <cell r="E32">
            <v>0</v>
          </cell>
          <cell r="F32">
            <v>0</v>
          </cell>
          <cell r="G32">
            <v>-0.04</v>
          </cell>
          <cell r="H32">
            <v>0</v>
          </cell>
        </row>
        <row r="33">
          <cell r="A33">
            <v>1110101</v>
          </cell>
          <cell r="B33">
            <v>1110101</v>
          </cell>
          <cell r="C33" t="str">
            <v xml:space="preserve"> INVESTASI HIPOTIK FAMILY TAKAFUL FUND </v>
          </cell>
          <cell r="D33">
            <v>3454891074.9899998</v>
          </cell>
          <cell r="E33">
            <v>94207000</v>
          </cell>
          <cell r="F33">
            <v>242995392</v>
          </cell>
          <cell r="G33">
            <v>3306102682.9899998</v>
          </cell>
          <cell r="H33">
            <v>-148788392</v>
          </cell>
        </row>
        <row r="34">
          <cell r="A34">
            <v>1110102</v>
          </cell>
          <cell r="B34">
            <v>1110102</v>
          </cell>
          <cell r="C34" t="str">
            <v> INVESTASI HIPOTIK GRUP BANK ASR TAKAFUL F</v>
          </cell>
          <cell r="D34">
            <v>0.25</v>
          </cell>
          <cell r="E34">
            <v>0</v>
          </cell>
          <cell r="F34">
            <v>0</v>
          </cell>
          <cell r="G34">
            <v>0.25</v>
          </cell>
          <cell r="H34">
            <v>0</v>
          </cell>
        </row>
        <row r="35">
          <cell r="A35">
            <v>1110103</v>
          </cell>
          <cell r="B35">
            <v>1110103</v>
          </cell>
          <cell r="C35" t="str">
            <v> INVESTASI HIPOTIK GRUP NON BANK ASR TAKAF</v>
          </cell>
          <cell r="D35">
            <v>0.16</v>
          </cell>
          <cell r="E35">
            <v>0</v>
          </cell>
          <cell r="F35">
            <v>0</v>
          </cell>
          <cell r="G35">
            <v>0.16</v>
          </cell>
          <cell r="H35">
            <v>0</v>
          </cell>
        </row>
        <row r="36">
          <cell r="A36">
            <v>1110104</v>
          </cell>
          <cell r="B36">
            <v>1110104</v>
          </cell>
          <cell r="C36" t="str">
            <v xml:space="preserve"> INVESTASI HIPOTIK HEALTH TAKAFUL FUND </v>
          </cell>
          <cell r="D36">
            <v>-0.06</v>
          </cell>
          <cell r="E36">
            <v>0</v>
          </cell>
          <cell r="F36">
            <v>0</v>
          </cell>
          <cell r="G36">
            <v>-0.06</v>
          </cell>
          <cell r="H36">
            <v>0</v>
          </cell>
        </row>
        <row r="37">
          <cell r="A37">
            <v>1110105</v>
          </cell>
          <cell r="B37">
            <v>1110105</v>
          </cell>
          <cell r="C37" t="str">
            <v xml:space="preserve"> INVESTASI HIPOTIK DPS </v>
          </cell>
          <cell r="D37">
            <v>-0.1</v>
          </cell>
          <cell r="E37">
            <v>0</v>
          </cell>
          <cell r="F37">
            <v>0</v>
          </cell>
          <cell r="G37">
            <v>-0.1</v>
          </cell>
          <cell r="H37">
            <v>0</v>
          </cell>
        </row>
        <row r="38">
          <cell r="A38">
            <v>1120101</v>
          </cell>
          <cell r="B38">
            <v>1120101</v>
          </cell>
          <cell r="C38" t="str">
            <v> INVESTASI PEMBY KENDR. FAMILY TAKAFUL FUND</v>
          </cell>
          <cell r="D38">
            <v>3775207206.8899999</v>
          </cell>
          <cell r="E38">
            <v>0</v>
          </cell>
          <cell r="F38">
            <v>0</v>
          </cell>
          <cell r="G38">
            <v>3775207206.8899999</v>
          </cell>
          <cell r="H38">
            <v>0</v>
          </cell>
        </row>
        <row r="39">
          <cell r="A39">
            <v>1120102</v>
          </cell>
          <cell r="B39">
            <v>1120102</v>
          </cell>
          <cell r="C39" t="str">
            <v> INVESTASI PEMBY KENDR. GRP BANK ASR TKF FU</v>
          </cell>
          <cell r="D39">
            <v>0.16</v>
          </cell>
          <cell r="E39">
            <v>0</v>
          </cell>
          <cell r="F39">
            <v>0</v>
          </cell>
          <cell r="G39">
            <v>0.16</v>
          </cell>
          <cell r="H39">
            <v>0</v>
          </cell>
        </row>
        <row r="40">
          <cell r="A40">
            <v>1120103</v>
          </cell>
          <cell r="B40">
            <v>1120103</v>
          </cell>
          <cell r="C40" t="str">
            <v> INVESTASI PEMBY KENDR. GRP NON BANK ASR TK</v>
          </cell>
          <cell r="D40">
            <v>0.44</v>
          </cell>
          <cell r="E40">
            <v>0</v>
          </cell>
          <cell r="F40">
            <v>0</v>
          </cell>
          <cell r="G40">
            <v>0.44</v>
          </cell>
          <cell r="H40">
            <v>0</v>
          </cell>
        </row>
        <row r="41">
          <cell r="A41">
            <v>1120104</v>
          </cell>
          <cell r="B41">
            <v>1120104</v>
          </cell>
          <cell r="C41" t="str">
            <v xml:space="preserve"> INVESTASI PEMBY KENDR.HEALTH TAKAFUL FUND </v>
          </cell>
          <cell r="D41">
            <v>-0.4</v>
          </cell>
          <cell r="E41">
            <v>0</v>
          </cell>
          <cell r="F41">
            <v>0</v>
          </cell>
          <cell r="G41">
            <v>-0.4</v>
          </cell>
          <cell r="H41">
            <v>0</v>
          </cell>
        </row>
        <row r="42">
          <cell r="A42">
            <v>1120105</v>
          </cell>
          <cell r="B42">
            <v>1120105</v>
          </cell>
          <cell r="C42" t="str">
            <v xml:space="preserve"> INVESTASI PEMBY KENDR. DPS </v>
          </cell>
          <cell r="D42">
            <v>-0.26</v>
          </cell>
          <cell r="E42">
            <v>0</v>
          </cell>
          <cell r="F42">
            <v>0</v>
          </cell>
          <cell r="G42">
            <v>-0.26</v>
          </cell>
          <cell r="H42">
            <v>0</v>
          </cell>
        </row>
        <row r="43">
          <cell r="A43">
            <v>1190101</v>
          </cell>
          <cell r="B43">
            <v>1190101</v>
          </cell>
          <cell r="C43" t="str">
            <v xml:space="preserve"> INVESTASI LAIN RUPIAH FAMILY TAKAFUL FUND </v>
          </cell>
          <cell r="D43">
            <v>-0.09</v>
          </cell>
          <cell r="E43">
            <v>0</v>
          </cell>
          <cell r="F43">
            <v>0</v>
          </cell>
          <cell r="G43">
            <v>-0.09</v>
          </cell>
          <cell r="H43">
            <v>0</v>
          </cell>
        </row>
        <row r="44">
          <cell r="A44">
            <v>1199001</v>
          </cell>
          <cell r="B44">
            <v>1199001</v>
          </cell>
          <cell r="C44" t="str">
            <v xml:space="preserve"> INVESTASI LAIN UNIT LINK </v>
          </cell>
          <cell r="D44">
            <v>53197319678</v>
          </cell>
          <cell r="E44">
            <v>0</v>
          </cell>
          <cell r="F44">
            <v>0</v>
          </cell>
          <cell r="G44">
            <v>53197319678</v>
          </cell>
          <cell r="H44">
            <v>0</v>
          </cell>
        </row>
        <row r="45">
          <cell r="A45">
            <v>1200101</v>
          </cell>
          <cell r="B45">
            <v>1200101</v>
          </cell>
          <cell r="C45" t="str">
            <v xml:space="preserve"> KAS RUPIAH DPT </v>
          </cell>
          <cell r="D45">
            <v>1171495232.6400001</v>
          </cell>
          <cell r="E45">
            <v>6215040835.7399998</v>
          </cell>
          <cell r="F45">
            <v>6204794527.5900002</v>
          </cell>
          <cell r="G45">
            <v>1181741540.8</v>
          </cell>
          <cell r="H45">
            <v>10246308.149999619</v>
          </cell>
        </row>
        <row r="46">
          <cell r="A46">
            <v>1200102</v>
          </cell>
          <cell r="B46">
            <v>1200102</v>
          </cell>
          <cell r="C46" t="str">
            <v xml:space="preserve"> KAS RUPIAH DPS </v>
          </cell>
          <cell r="D46">
            <v>73860191.060000002</v>
          </cell>
          <cell r="E46">
            <v>552705038.64999998</v>
          </cell>
          <cell r="F46">
            <v>578169199.42999995</v>
          </cell>
          <cell r="G46">
            <v>48396030.280000001</v>
          </cell>
          <cell r="H46">
            <v>-25464160.779999971</v>
          </cell>
        </row>
        <row r="47">
          <cell r="A47">
            <v>1200201</v>
          </cell>
          <cell r="B47">
            <v>1200201</v>
          </cell>
          <cell r="C47" t="str">
            <v xml:space="preserve"> KAS USD DPT </v>
          </cell>
          <cell r="D47">
            <v>43029156.909999996</v>
          </cell>
          <cell r="E47">
            <v>37353764.439999998</v>
          </cell>
          <cell r="F47">
            <v>50953590</v>
          </cell>
          <cell r="G47">
            <v>29429331.350000001</v>
          </cell>
          <cell r="H47">
            <v>-13599825.560000002</v>
          </cell>
        </row>
        <row r="48">
          <cell r="A48">
            <v>1200202</v>
          </cell>
          <cell r="B48">
            <v>1200202</v>
          </cell>
          <cell r="C48" t="str">
            <v xml:space="preserve"> KAS USD DPS </v>
          </cell>
          <cell r="D48">
            <v>15136403.939999999</v>
          </cell>
          <cell r="E48">
            <v>47634284.549999997</v>
          </cell>
          <cell r="F48">
            <v>59488772.149999999</v>
          </cell>
          <cell r="G48">
            <v>3281916.34</v>
          </cell>
          <cell r="H48">
            <v>-11854487.600000001</v>
          </cell>
        </row>
        <row r="49">
          <cell r="A49">
            <v>1200301</v>
          </cell>
          <cell r="B49">
            <v>1200301</v>
          </cell>
          <cell r="C49" t="str">
            <v xml:space="preserve"> BANK RUPIAH DPT BANK MUAMALAT INDONESIA </v>
          </cell>
          <cell r="D49">
            <v>-4548312314.5900002</v>
          </cell>
          <cell r="E49">
            <v>108954372331.25</v>
          </cell>
          <cell r="F49">
            <v>118552102065.60001</v>
          </cell>
          <cell r="G49">
            <v>-14325042048.940001</v>
          </cell>
          <cell r="H49">
            <v>-9597729734.3500061</v>
          </cell>
        </row>
        <row r="50">
          <cell r="A50">
            <v>1200302</v>
          </cell>
          <cell r="B50">
            <v>1200302</v>
          </cell>
          <cell r="C50" t="str">
            <v> BANK RUPIAH DPT BANK NEGARA INDONESIA SYAR</v>
          </cell>
          <cell r="D50">
            <v>-67040865</v>
          </cell>
          <cell r="E50">
            <v>412463113.39999998</v>
          </cell>
          <cell r="F50">
            <v>1188407137.1600001</v>
          </cell>
          <cell r="G50">
            <v>-842984888.75999999</v>
          </cell>
          <cell r="H50">
            <v>-775944023.76000011</v>
          </cell>
        </row>
        <row r="51">
          <cell r="A51">
            <v>1200303</v>
          </cell>
          <cell r="B51">
            <v>1200303</v>
          </cell>
          <cell r="C51" t="str">
            <v xml:space="preserve"> BANK RUPIAH DPT BANK SYARIAH MANDIRI </v>
          </cell>
          <cell r="D51">
            <v>3098985905.71</v>
          </cell>
          <cell r="E51">
            <v>3761115507.4099998</v>
          </cell>
          <cell r="F51">
            <v>6405456998.1800003</v>
          </cell>
          <cell r="G51">
            <v>454644414.94</v>
          </cell>
          <cell r="H51">
            <v>-2644341490.7700005</v>
          </cell>
        </row>
        <row r="52">
          <cell r="A52">
            <v>1200304</v>
          </cell>
          <cell r="B52">
            <v>1200304</v>
          </cell>
          <cell r="C52" t="str">
            <v xml:space="preserve"> BANK RUPIAH DPT BANK IFI SYARIAH </v>
          </cell>
          <cell r="D52">
            <v>6939927.3899999997</v>
          </cell>
          <cell r="E52">
            <v>6801.72</v>
          </cell>
          <cell r="F52">
            <v>25000</v>
          </cell>
          <cell r="G52">
            <v>6921729.1100000003</v>
          </cell>
          <cell r="H52">
            <v>-18198.28</v>
          </cell>
        </row>
        <row r="53">
          <cell r="A53">
            <v>1200305</v>
          </cell>
          <cell r="B53">
            <v>1200305</v>
          </cell>
          <cell r="C53" t="str">
            <v xml:space="preserve"> BANK RUPIAH DPT BII SYARIAH </v>
          </cell>
          <cell r="D53">
            <v>7820454.1900000004</v>
          </cell>
          <cell r="E53">
            <v>16568424.529999999</v>
          </cell>
          <cell r="F53">
            <v>20073000</v>
          </cell>
          <cell r="G53">
            <v>4315878.72</v>
          </cell>
          <cell r="H53">
            <v>-3504575.4700000007</v>
          </cell>
        </row>
        <row r="54">
          <cell r="A54">
            <v>1200306</v>
          </cell>
          <cell r="B54">
            <v>1200306</v>
          </cell>
          <cell r="C54" t="str">
            <v xml:space="preserve"> BANK RUPIAH DPT BANK JABAR SYARIAH </v>
          </cell>
          <cell r="D54">
            <v>47786342.719999999</v>
          </cell>
          <cell r="E54">
            <v>53677061.5</v>
          </cell>
          <cell r="F54">
            <v>4995397.5</v>
          </cell>
          <cell r="G54">
            <v>96468006.719999999</v>
          </cell>
          <cell r="H54">
            <v>48681664</v>
          </cell>
        </row>
        <row r="55">
          <cell r="A55">
            <v>1200307</v>
          </cell>
          <cell r="B55">
            <v>1200307</v>
          </cell>
          <cell r="C55" t="str">
            <v xml:space="preserve"> BANK RUPIAH DPT BANK DANAMON SYARIAH </v>
          </cell>
          <cell r="D55">
            <v>345607172.61000001</v>
          </cell>
          <cell r="E55">
            <v>60449483.43</v>
          </cell>
          <cell r="F55">
            <v>1069309.5</v>
          </cell>
          <cell r="G55">
            <v>404987346.54000002</v>
          </cell>
          <cell r="H55">
            <v>59380173.93</v>
          </cell>
        </row>
        <row r="56">
          <cell r="A56">
            <v>1200308</v>
          </cell>
          <cell r="B56">
            <v>1200308</v>
          </cell>
          <cell r="C56" t="str">
            <v> BANK RUPIAH DPT BANK SYARIAH MEGA INDONESI</v>
          </cell>
          <cell r="D56">
            <v>21814931.309999999</v>
          </cell>
          <cell r="E56">
            <v>51652.5</v>
          </cell>
          <cell r="F56">
            <v>68000</v>
          </cell>
          <cell r="G56">
            <v>21798583.809999999</v>
          </cell>
          <cell r="H56">
            <v>-16347.5</v>
          </cell>
        </row>
        <row r="57">
          <cell r="A57">
            <v>1200309</v>
          </cell>
          <cell r="B57">
            <v>1200309</v>
          </cell>
          <cell r="C57" t="str">
            <v> BANK RUPIAH DPT BANK RAKYAT INDONESIA SYAR</v>
          </cell>
          <cell r="D57">
            <v>52335815.079999998</v>
          </cell>
          <cell r="E57">
            <v>1179626</v>
          </cell>
          <cell r="F57">
            <v>39072924</v>
          </cell>
          <cell r="G57">
            <v>14442517.08</v>
          </cell>
          <cell r="H57">
            <v>-37893298</v>
          </cell>
        </row>
        <row r="58">
          <cell r="A58">
            <v>1200310</v>
          </cell>
          <cell r="B58">
            <v>1200310</v>
          </cell>
          <cell r="C58" t="str">
            <v xml:space="preserve"> BANK RUPIAH DPT BANK MANDIRI </v>
          </cell>
          <cell r="D58">
            <v>523500970.61000001</v>
          </cell>
          <cell r="E58">
            <v>752024815.53999996</v>
          </cell>
          <cell r="F58">
            <v>688804404.71000004</v>
          </cell>
          <cell r="G58">
            <v>586721381.44000006</v>
          </cell>
          <cell r="H58">
            <v>63220410.829999924</v>
          </cell>
        </row>
        <row r="59">
          <cell r="A59">
            <v>1200311</v>
          </cell>
          <cell r="B59">
            <v>1200311</v>
          </cell>
          <cell r="C59" t="str">
            <v xml:space="preserve"> BANK RUPIAH DPT BANK NEGARA INDONESIA </v>
          </cell>
          <cell r="D59">
            <v>116540992.64</v>
          </cell>
          <cell r="E59">
            <v>57334680</v>
          </cell>
          <cell r="F59">
            <v>212500</v>
          </cell>
          <cell r="G59">
            <v>173663172.63999999</v>
          </cell>
          <cell r="H59">
            <v>57122180</v>
          </cell>
        </row>
        <row r="60">
          <cell r="A60">
            <v>1200312</v>
          </cell>
          <cell r="B60">
            <v>1200312</v>
          </cell>
          <cell r="C60" t="str">
            <v xml:space="preserve"> BANK RUPIAH DPT BUKOPIN </v>
          </cell>
          <cell r="D60">
            <v>240127054.5</v>
          </cell>
          <cell r="E60">
            <v>174273178.75999999</v>
          </cell>
          <cell r="F60">
            <v>177835103.44999999</v>
          </cell>
          <cell r="G60">
            <v>236565129.81</v>
          </cell>
          <cell r="H60">
            <v>-3561924.6899999976</v>
          </cell>
        </row>
        <row r="61">
          <cell r="A61">
            <v>1200313</v>
          </cell>
          <cell r="B61">
            <v>1200313</v>
          </cell>
          <cell r="C61" t="str">
            <v xml:space="preserve"> BANK RUPIAH DPT BANK AGRO </v>
          </cell>
          <cell r="D61">
            <v>16116.49</v>
          </cell>
          <cell r="E61">
            <v>0</v>
          </cell>
          <cell r="F61">
            <v>0</v>
          </cell>
          <cell r="G61">
            <v>16116.49</v>
          </cell>
          <cell r="H61">
            <v>0</v>
          </cell>
        </row>
        <row r="62">
          <cell r="A62">
            <v>1200314</v>
          </cell>
          <cell r="B62">
            <v>1200314</v>
          </cell>
          <cell r="C62" t="str">
            <v xml:space="preserve"> BANK RUPIAH DPT B P D </v>
          </cell>
          <cell r="D62">
            <v>293987702.75</v>
          </cell>
          <cell r="E62">
            <v>55394674.640000001</v>
          </cell>
          <cell r="F62">
            <v>184184727.59999999</v>
          </cell>
          <cell r="G62">
            <v>165197649.78999999</v>
          </cell>
          <cell r="H62">
            <v>-128790052.95999999</v>
          </cell>
        </row>
        <row r="63">
          <cell r="A63">
            <v>1200315</v>
          </cell>
          <cell r="B63">
            <v>1200315</v>
          </cell>
          <cell r="C63" t="str">
            <v> BANK RUPIAH DPT BANK PERKREDITAN RAKYAT SY</v>
          </cell>
          <cell r="D63">
            <v>1355781939.52</v>
          </cell>
          <cell r="E63">
            <v>322749540.61000001</v>
          </cell>
          <cell r="F63">
            <v>190868953.24000001</v>
          </cell>
          <cell r="G63">
            <v>1487662526.8900001</v>
          </cell>
          <cell r="H63">
            <v>131880587.37</v>
          </cell>
        </row>
        <row r="64">
          <cell r="A64">
            <v>1200316</v>
          </cell>
          <cell r="B64">
            <v>1200316</v>
          </cell>
          <cell r="C64" t="str">
            <v xml:space="preserve"> BANK RUPIAH DPT BMT </v>
          </cell>
          <cell r="D64">
            <v>0.11</v>
          </cell>
          <cell r="E64">
            <v>0</v>
          </cell>
          <cell r="F64">
            <v>0</v>
          </cell>
          <cell r="G64">
            <v>0.11</v>
          </cell>
          <cell r="H64">
            <v>0</v>
          </cell>
        </row>
        <row r="65">
          <cell r="A65">
            <v>1200317</v>
          </cell>
          <cell r="B65">
            <v>1200317</v>
          </cell>
          <cell r="C65" t="str">
            <v xml:space="preserve"> BANK RUPIAH DPT NIAGA </v>
          </cell>
          <cell r="D65">
            <v>-966615827.49000001</v>
          </cell>
          <cell r="E65">
            <v>550718116.88</v>
          </cell>
          <cell r="F65">
            <v>980130500</v>
          </cell>
          <cell r="G65">
            <v>-1396028210.6099999</v>
          </cell>
          <cell r="H65">
            <v>-429412383.12</v>
          </cell>
        </row>
        <row r="66">
          <cell r="A66">
            <v>1200318</v>
          </cell>
          <cell r="B66">
            <v>1200318</v>
          </cell>
          <cell r="C66" t="str">
            <v xml:space="preserve"> BANK RUPIAH DPT RIAU SYARIAH </v>
          </cell>
          <cell r="D66">
            <v>18915147.699999999</v>
          </cell>
          <cell r="E66">
            <v>0</v>
          </cell>
          <cell r="F66">
            <v>15000</v>
          </cell>
          <cell r="G66">
            <v>18900147.699999999</v>
          </cell>
          <cell r="H66">
            <v>-15000</v>
          </cell>
        </row>
        <row r="67">
          <cell r="A67">
            <v>1200319</v>
          </cell>
          <cell r="B67">
            <v>1200319</v>
          </cell>
          <cell r="C67" t="str">
            <v xml:space="preserve"> BANK RUPIAH DPT BTN SYARIAH </v>
          </cell>
          <cell r="D67">
            <v>29701131.309999999</v>
          </cell>
          <cell r="E67">
            <v>3733133</v>
          </cell>
          <cell r="F67">
            <v>57000</v>
          </cell>
          <cell r="G67">
            <v>33377264.309999999</v>
          </cell>
          <cell r="H67">
            <v>3676133</v>
          </cell>
        </row>
        <row r="68">
          <cell r="A68">
            <v>1200320</v>
          </cell>
          <cell r="B68">
            <v>1200320</v>
          </cell>
          <cell r="C68" t="str">
            <v xml:space="preserve"> BANK RUPIAH DPT BATARA SYARIAH </v>
          </cell>
          <cell r="D68">
            <v>-125593988.59999999</v>
          </cell>
          <cell r="E68">
            <v>180834826</v>
          </cell>
          <cell r="F68">
            <v>150970600</v>
          </cell>
          <cell r="G68">
            <v>-95729762.599999994</v>
          </cell>
          <cell r="H68">
            <v>29864226</v>
          </cell>
        </row>
        <row r="69">
          <cell r="A69">
            <v>1200321</v>
          </cell>
          <cell r="B69">
            <v>1200321</v>
          </cell>
          <cell r="C69" t="str">
            <v xml:space="preserve"> BANK RUPIAH DPT NTB SYARIAH </v>
          </cell>
          <cell r="D69">
            <v>19446761.100000001</v>
          </cell>
          <cell r="E69">
            <v>390290.5</v>
          </cell>
          <cell r="F69">
            <v>406095.5</v>
          </cell>
          <cell r="G69">
            <v>19430956.100000001</v>
          </cell>
          <cell r="H69">
            <v>-15805</v>
          </cell>
        </row>
        <row r="70">
          <cell r="A70">
            <v>1200322</v>
          </cell>
          <cell r="B70">
            <v>1200322</v>
          </cell>
          <cell r="C70" t="str">
            <v xml:space="preserve"> BANK RUPIAH DPT NTB </v>
          </cell>
          <cell r="D70">
            <v>3425379</v>
          </cell>
          <cell r="E70">
            <v>0</v>
          </cell>
          <cell r="F70">
            <v>0</v>
          </cell>
          <cell r="G70">
            <v>3425379</v>
          </cell>
          <cell r="H70">
            <v>0</v>
          </cell>
        </row>
        <row r="71">
          <cell r="A71">
            <v>1200323</v>
          </cell>
          <cell r="B71">
            <v>1200323</v>
          </cell>
          <cell r="C71" t="str">
            <v xml:space="preserve"> BANK RUPIAH DPT NIAGA SYARIAH </v>
          </cell>
          <cell r="D71">
            <v>19067360048.209999</v>
          </cell>
          <cell r="E71">
            <v>0</v>
          </cell>
          <cell r="F71">
            <v>0</v>
          </cell>
          <cell r="G71">
            <v>19067360048.209999</v>
          </cell>
          <cell r="H71">
            <v>0</v>
          </cell>
        </row>
        <row r="72">
          <cell r="A72">
            <v>1200324</v>
          </cell>
          <cell r="B72">
            <v>1200324</v>
          </cell>
          <cell r="C72" t="str">
            <v xml:space="preserve"> BANK RUPIAH DPT PERMATA SYARIAH </v>
          </cell>
          <cell r="D72">
            <v>1006489</v>
          </cell>
          <cell r="E72">
            <v>4110</v>
          </cell>
          <cell r="F72">
            <v>0</v>
          </cell>
          <cell r="G72">
            <v>1010599</v>
          </cell>
          <cell r="H72">
            <v>4110</v>
          </cell>
        </row>
        <row r="73">
          <cell r="A73">
            <v>1200331</v>
          </cell>
          <cell r="B73">
            <v>1200331</v>
          </cell>
          <cell r="C73" t="str">
            <v xml:space="preserve"> BANK RUPIAH DPS BANK MUAMALAT INDONESIA </v>
          </cell>
          <cell r="D73">
            <v>1401890841.5999999</v>
          </cell>
          <cell r="E73">
            <v>11135348310.82</v>
          </cell>
          <cell r="F73">
            <v>11161583833.49</v>
          </cell>
          <cell r="G73">
            <v>1375655318.9300001</v>
          </cell>
          <cell r="H73">
            <v>-26235522.670000076</v>
          </cell>
        </row>
        <row r="74">
          <cell r="A74">
            <v>1200332</v>
          </cell>
          <cell r="B74">
            <v>1200332</v>
          </cell>
          <cell r="C74" t="str">
            <v> BANK RUPIAH DPS BANK NEGARA INDONESIA SYAR</v>
          </cell>
          <cell r="D74">
            <v>-0.03</v>
          </cell>
          <cell r="E74">
            <v>0</v>
          </cell>
          <cell r="F74">
            <v>0</v>
          </cell>
          <cell r="G74">
            <v>-0.03</v>
          </cell>
          <cell r="H74">
            <v>0</v>
          </cell>
        </row>
        <row r="75">
          <cell r="A75">
            <v>1200333</v>
          </cell>
          <cell r="B75">
            <v>1200333</v>
          </cell>
          <cell r="C75" t="str">
            <v xml:space="preserve"> BANK RUPIAH DPS BANK SYARIAH MANDIRI </v>
          </cell>
          <cell r="D75">
            <v>535721922.12</v>
          </cell>
          <cell r="E75">
            <v>909558409.40999997</v>
          </cell>
          <cell r="F75">
            <v>1007676805.7</v>
          </cell>
          <cell r="G75">
            <v>437603525.82999998</v>
          </cell>
          <cell r="H75">
            <v>-98118396.290000081</v>
          </cell>
        </row>
        <row r="76">
          <cell r="A76">
            <v>1200339</v>
          </cell>
          <cell r="B76">
            <v>1200339</v>
          </cell>
          <cell r="C76" t="str">
            <v> BANK RUPIAH DPS BANK RAKYAT INDONESIA SYAR</v>
          </cell>
          <cell r="D76">
            <v>0.21</v>
          </cell>
          <cell r="E76">
            <v>0</v>
          </cell>
          <cell r="F76">
            <v>0</v>
          </cell>
          <cell r="G76">
            <v>0.21</v>
          </cell>
          <cell r="H76">
            <v>0</v>
          </cell>
        </row>
        <row r="77">
          <cell r="A77">
            <v>1200341</v>
          </cell>
          <cell r="B77">
            <v>1200341</v>
          </cell>
          <cell r="C77" t="str">
            <v xml:space="preserve"> BANK RUPIAH DPS BANK NEGARA INDONESIA </v>
          </cell>
          <cell r="D77">
            <v>21542375.239999998</v>
          </cell>
          <cell r="E77">
            <v>14099647</v>
          </cell>
          <cell r="F77">
            <v>19813000</v>
          </cell>
          <cell r="G77">
            <v>15829022.24</v>
          </cell>
          <cell r="H77">
            <v>-5713353</v>
          </cell>
        </row>
        <row r="78">
          <cell r="A78">
            <v>1200344</v>
          </cell>
          <cell r="B78">
            <v>1200344</v>
          </cell>
          <cell r="C78" t="str">
            <v xml:space="preserve"> BANK RUPIAH DPS B P D </v>
          </cell>
          <cell r="D78">
            <v>0.2</v>
          </cell>
          <cell r="E78">
            <v>0</v>
          </cell>
          <cell r="F78">
            <v>0</v>
          </cell>
          <cell r="G78">
            <v>0.2</v>
          </cell>
          <cell r="H78">
            <v>0</v>
          </cell>
        </row>
        <row r="79">
          <cell r="A79">
            <v>1200401</v>
          </cell>
          <cell r="B79">
            <v>1200401</v>
          </cell>
          <cell r="C79" t="str">
            <v xml:space="preserve"> BANK USD DPT BANK MUAMALAT INDONESIA </v>
          </cell>
          <cell r="D79">
            <v>-3318353.07</v>
          </cell>
          <cell r="E79">
            <v>264738781.53</v>
          </cell>
          <cell r="F79">
            <v>243020501.00999999</v>
          </cell>
          <cell r="G79">
            <v>18399927.449999999</v>
          </cell>
          <cell r="H79">
            <v>21718280.520000011</v>
          </cell>
        </row>
        <row r="80">
          <cell r="A80">
            <v>1200408</v>
          </cell>
          <cell r="B80">
            <v>1200408</v>
          </cell>
          <cell r="C80" t="str">
            <v xml:space="preserve"> BANK USD DPT BANK SYARIAH MEGA INDONESIA </v>
          </cell>
          <cell r="D80">
            <v>-0.38</v>
          </cell>
          <cell r="E80">
            <v>0</v>
          </cell>
          <cell r="F80">
            <v>0</v>
          </cell>
          <cell r="G80">
            <v>-0.38</v>
          </cell>
          <cell r="H80">
            <v>0</v>
          </cell>
        </row>
        <row r="81">
          <cell r="A81">
            <v>1200492</v>
          </cell>
          <cell r="B81">
            <v>1200492</v>
          </cell>
          <cell r="C81" t="str">
            <v xml:space="preserve"> UANG DALAM PERJALAN DPT </v>
          </cell>
          <cell r="D81">
            <v>442000000.30000001</v>
          </cell>
          <cell r="E81">
            <v>0</v>
          </cell>
          <cell r="F81">
            <v>0</v>
          </cell>
          <cell r="G81">
            <v>442000000.30000001</v>
          </cell>
          <cell r="H81">
            <v>0</v>
          </cell>
        </row>
        <row r="82">
          <cell r="A82">
            <v>1310101</v>
          </cell>
          <cell r="B82">
            <v>1310101</v>
          </cell>
          <cell r="C82" t="str">
            <v> PIUTANG PREMI FAMILY TAKAFUL FUND AKUN PES</v>
          </cell>
          <cell r="D82">
            <v>-3964544979.0999999</v>
          </cell>
          <cell r="E82">
            <v>0</v>
          </cell>
          <cell r="F82">
            <v>0</v>
          </cell>
          <cell r="G82">
            <v>-3964544979.0999999</v>
          </cell>
          <cell r="H82">
            <v>0</v>
          </cell>
        </row>
        <row r="83">
          <cell r="A83">
            <v>1310201</v>
          </cell>
          <cell r="B83">
            <v>1310201</v>
          </cell>
          <cell r="C83" t="str">
            <v> PIUTANG PREMI GRUP TAKAFUL FUND AKUN KHAS</v>
          </cell>
          <cell r="D83">
            <v>14195011171.530001</v>
          </cell>
          <cell r="E83">
            <v>3188562746.6500001</v>
          </cell>
          <cell r="F83">
            <v>2736624887</v>
          </cell>
          <cell r="G83">
            <v>14646949031.18</v>
          </cell>
          <cell r="H83">
            <v>451937859.6500001</v>
          </cell>
        </row>
        <row r="84">
          <cell r="A84">
            <v>1310301</v>
          </cell>
          <cell r="B84">
            <v>1310301</v>
          </cell>
          <cell r="C84" t="str">
            <v> PIUTANG PREMI GRUP TAKAFUL FUND AKUN KHAS</v>
          </cell>
          <cell r="D84">
            <v>-194024.42</v>
          </cell>
          <cell r="E84">
            <v>47753946.299999997</v>
          </cell>
          <cell r="F84">
            <v>59945156.82</v>
          </cell>
          <cell r="G84">
            <v>-12385234.949999999</v>
          </cell>
          <cell r="H84">
            <v>-12191210.520000003</v>
          </cell>
        </row>
        <row r="85">
          <cell r="A85">
            <v>1310401</v>
          </cell>
          <cell r="B85">
            <v>1310401</v>
          </cell>
          <cell r="C85" t="str">
            <v> PIUTANG PREMI HEALTH TAKAFUL FUND AKUN KHA</v>
          </cell>
          <cell r="D85">
            <v>13887407788.780001</v>
          </cell>
          <cell r="E85">
            <v>1972674884</v>
          </cell>
          <cell r="F85">
            <v>276814676</v>
          </cell>
          <cell r="G85">
            <v>15583267996.780001</v>
          </cell>
          <cell r="H85">
            <v>1695860208</v>
          </cell>
        </row>
        <row r="86">
          <cell r="A86">
            <v>1310601</v>
          </cell>
          <cell r="B86">
            <v>1310601</v>
          </cell>
          <cell r="C86" t="str">
            <v> PIUTANG PREMI GRUP TAKAFUL FUND AKUN KHAS</v>
          </cell>
          <cell r="D86">
            <v>-3026285625.8000002</v>
          </cell>
          <cell r="E86">
            <v>0</v>
          </cell>
          <cell r="F86">
            <v>0</v>
          </cell>
          <cell r="G86">
            <v>-3026285625.8000002</v>
          </cell>
          <cell r="H86">
            <v>0</v>
          </cell>
        </row>
        <row r="87">
          <cell r="A87">
            <v>1310701</v>
          </cell>
          <cell r="B87">
            <v>1310701</v>
          </cell>
          <cell r="C87" t="str">
            <v> PIUTANG PREMI GRUP TAKAFUL FUND AKUN KHAS</v>
          </cell>
          <cell r="D87">
            <v>-5932599.9500000002</v>
          </cell>
          <cell r="E87">
            <v>0</v>
          </cell>
          <cell r="F87">
            <v>17101.150000000001</v>
          </cell>
          <cell r="G87">
            <v>-5949701.0999999996</v>
          </cell>
          <cell r="H87">
            <v>-17101.150000000001</v>
          </cell>
        </row>
        <row r="88">
          <cell r="A88">
            <v>1310801</v>
          </cell>
          <cell r="B88">
            <v>1310801</v>
          </cell>
          <cell r="C88" t="str">
            <v> PIUTANG PREMI HEALTH TAKAFUL FUND AKUN KHA</v>
          </cell>
          <cell r="D88">
            <v>-0.2</v>
          </cell>
          <cell r="E88">
            <v>0</v>
          </cell>
          <cell r="F88">
            <v>0</v>
          </cell>
          <cell r="G88">
            <v>-0.2</v>
          </cell>
          <cell r="H88">
            <v>0</v>
          </cell>
        </row>
        <row r="89">
          <cell r="A89">
            <v>1310802</v>
          </cell>
          <cell r="B89">
            <v>1310802</v>
          </cell>
          <cell r="C89" t="str">
            <v xml:space="preserve"> PIUTANG PREMI HEALTH AKUN DPS </v>
          </cell>
          <cell r="D89">
            <v>-3616355</v>
          </cell>
          <cell r="E89">
            <v>3293492</v>
          </cell>
          <cell r="F89">
            <v>3293491.67</v>
          </cell>
          <cell r="G89">
            <v>-3616354.67</v>
          </cell>
          <cell r="H89">
            <v>0.33000000007450581</v>
          </cell>
        </row>
        <row r="90">
          <cell r="A90">
            <v>1320101</v>
          </cell>
          <cell r="B90">
            <v>1320101</v>
          </cell>
          <cell r="C90" t="str">
            <v xml:space="preserve"> PIUTANG KLAIM KESEHATAN RUPIAH </v>
          </cell>
          <cell r="D90">
            <v>2858787619</v>
          </cell>
          <cell r="E90">
            <v>238519672</v>
          </cell>
          <cell r="F90">
            <v>32685411</v>
          </cell>
          <cell r="G90">
            <v>3064621880</v>
          </cell>
          <cell r="H90">
            <v>205834261</v>
          </cell>
        </row>
        <row r="91">
          <cell r="A91">
            <v>1320102</v>
          </cell>
          <cell r="B91">
            <v>1320102</v>
          </cell>
          <cell r="C91" t="str">
            <v xml:space="preserve"> PIUTANG KLAIM KESEHATAN RUPIAH DPS </v>
          </cell>
          <cell r="D91">
            <v>-5768439</v>
          </cell>
          <cell r="E91">
            <v>2616465</v>
          </cell>
          <cell r="F91">
            <v>2616465</v>
          </cell>
          <cell r="G91">
            <v>-5768439</v>
          </cell>
          <cell r="H91">
            <v>0</v>
          </cell>
        </row>
        <row r="92">
          <cell r="A92">
            <v>1330101</v>
          </cell>
          <cell r="B92">
            <v>1330101</v>
          </cell>
          <cell r="C92" t="str">
            <v> PIUTANG REASURANSI RUPIAH FAMILY TAKAFUL F</v>
          </cell>
          <cell r="D92">
            <v>155879788.22</v>
          </cell>
          <cell r="E92">
            <v>0</v>
          </cell>
          <cell r="F92">
            <v>0</v>
          </cell>
          <cell r="G92">
            <v>155879788.22</v>
          </cell>
          <cell r="H92">
            <v>0</v>
          </cell>
        </row>
        <row r="93">
          <cell r="A93">
            <v>1330102</v>
          </cell>
          <cell r="B93">
            <v>1330102</v>
          </cell>
          <cell r="C93" t="str">
            <v> PIUTANG REASURANSI RP GRP BANK ASR TAKAFUL</v>
          </cell>
          <cell r="D93">
            <v>3500054341.9299998</v>
          </cell>
          <cell r="E93">
            <v>0</v>
          </cell>
          <cell r="F93">
            <v>0</v>
          </cell>
          <cell r="G93">
            <v>3500054341.9299998</v>
          </cell>
          <cell r="H93">
            <v>0</v>
          </cell>
        </row>
        <row r="94">
          <cell r="A94">
            <v>1330103</v>
          </cell>
          <cell r="B94">
            <v>1330103</v>
          </cell>
          <cell r="C94" t="str">
            <v> PIUTANG REAS RP GRP NON BANK ASR TAKAFUL F</v>
          </cell>
          <cell r="D94">
            <v>308767796</v>
          </cell>
          <cell r="E94">
            <v>0</v>
          </cell>
          <cell r="F94">
            <v>0</v>
          </cell>
          <cell r="G94">
            <v>308767796</v>
          </cell>
          <cell r="H94">
            <v>0</v>
          </cell>
        </row>
        <row r="95">
          <cell r="A95">
            <v>1330104</v>
          </cell>
          <cell r="B95">
            <v>1330104</v>
          </cell>
          <cell r="C95" t="str">
            <v> PIUTANG REASURANSI RUPIAH HEALTH TAKAFUL F</v>
          </cell>
          <cell r="D95">
            <v>5391350012.1499996</v>
          </cell>
          <cell r="E95">
            <v>0</v>
          </cell>
          <cell r="F95">
            <v>0</v>
          </cell>
          <cell r="G95">
            <v>5391350012.1499996</v>
          </cell>
          <cell r="H95">
            <v>0</v>
          </cell>
        </row>
        <row r="96">
          <cell r="A96">
            <v>1330201</v>
          </cell>
          <cell r="B96">
            <v>1330201</v>
          </cell>
          <cell r="C96" t="str">
            <v> PIUTANG REASURANSI USD FAMILY TAKAFUL FUND</v>
          </cell>
          <cell r="D96">
            <v>-0.1</v>
          </cell>
          <cell r="E96">
            <v>0</v>
          </cell>
          <cell r="F96">
            <v>0</v>
          </cell>
          <cell r="G96">
            <v>-0.1</v>
          </cell>
          <cell r="H96">
            <v>0</v>
          </cell>
        </row>
        <row r="97">
          <cell r="A97">
            <v>1510101</v>
          </cell>
          <cell r="B97">
            <v>1510101</v>
          </cell>
          <cell r="C97" t="str">
            <v xml:space="preserve"> PIUTANG HASIL INVESTASI DPT </v>
          </cell>
          <cell r="D97">
            <v>2073891615.55</v>
          </cell>
          <cell r="E97">
            <v>0</v>
          </cell>
          <cell r="F97">
            <v>301133700</v>
          </cell>
          <cell r="G97">
            <v>1772757915.55</v>
          </cell>
          <cell r="H97">
            <v>-301133700</v>
          </cell>
        </row>
        <row r="98">
          <cell r="A98">
            <v>1510102</v>
          </cell>
          <cell r="B98">
            <v>1510102</v>
          </cell>
          <cell r="C98" t="str">
            <v xml:space="preserve"> PIUTANG HASIL INVESTASI DPS </v>
          </cell>
          <cell r="D98">
            <v>0.45</v>
          </cell>
          <cell r="E98">
            <v>0</v>
          </cell>
          <cell r="F98">
            <v>0</v>
          </cell>
          <cell r="G98">
            <v>0.45</v>
          </cell>
          <cell r="H98">
            <v>0</v>
          </cell>
        </row>
        <row r="99">
          <cell r="A99">
            <v>1520102</v>
          </cell>
          <cell r="B99">
            <v>1520102</v>
          </cell>
          <cell r="C99" t="str">
            <v> PIUTANG LAIN-LAIN PIUTANG PEGAWAI TANPA B</v>
          </cell>
          <cell r="D99">
            <v>80374793.010000005</v>
          </cell>
          <cell r="E99">
            <v>9045964</v>
          </cell>
          <cell r="F99">
            <v>9774077.3300000001</v>
          </cell>
          <cell r="G99">
            <v>79646679.680000007</v>
          </cell>
          <cell r="H99">
            <v>-728113.33000000007</v>
          </cell>
        </row>
        <row r="100">
          <cell r="A100">
            <v>1520104</v>
          </cell>
          <cell r="B100">
            <v>1520104</v>
          </cell>
          <cell r="C100" t="str">
            <v> PIUTANG LAIN-LAIN PIUTANG KPD PIHAK KE 3 T</v>
          </cell>
          <cell r="D100">
            <v>-5160065</v>
          </cell>
          <cell r="E100">
            <v>0</v>
          </cell>
          <cell r="F100">
            <v>0</v>
          </cell>
          <cell r="G100">
            <v>-5160065</v>
          </cell>
          <cell r="H100">
            <v>0</v>
          </cell>
        </row>
        <row r="101">
          <cell r="A101">
            <v>1520106</v>
          </cell>
          <cell r="B101">
            <v>1520106</v>
          </cell>
          <cell r="C101" t="str">
            <v> PIUTANG LAIN-LAIN PIUTANG PADA AFILIASI A</v>
          </cell>
          <cell r="D101">
            <v>133005547.77</v>
          </cell>
          <cell r="E101">
            <v>43464493.5</v>
          </cell>
          <cell r="F101">
            <v>70578171</v>
          </cell>
          <cell r="G101">
            <v>105891870.27</v>
          </cell>
          <cell r="H101">
            <v>-27113677.5</v>
          </cell>
        </row>
        <row r="102">
          <cell r="A102">
            <v>1520107</v>
          </cell>
          <cell r="B102">
            <v>1520107</v>
          </cell>
          <cell r="C102" t="str">
            <v xml:space="preserve"> PIUTANG LAIN-LAIN PENGGELAPAN PREMI </v>
          </cell>
          <cell r="D102">
            <v>142507585</v>
          </cell>
          <cell r="E102">
            <v>0</v>
          </cell>
          <cell r="F102">
            <v>500000</v>
          </cell>
          <cell r="G102">
            <v>142007585</v>
          </cell>
          <cell r="H102">
            <v>-500000</v>
          </cell>
        </row>
        <row r="103">
          <cell r="A103">
            <v>1520108</v>
          </cell>
          <cell r="B103">
            <v>1520108</v>
          </cell>
          <cell r="C103" t="str">
            <v xml:space="preserve"> PIUTANG LAIN-LAIN PREMI DI ATU </v>
          </cell>
          <cell r="D103">
            <v>325199797.19</v>
          </cell>
          <cell r="E103">
            <v>3127554.75</v>
          </cell>
          <cell r="F103">
            <v>0</v>
          </cell>
          <cell r="G103">
            <v>328327351.94</v>
          </cell>
          <cell r="H103">
            <v>3127554.75</v>
          </cell>
        </row>
        <row r="104">
          <cell r="A104">
            <v>1630101</v>
          </cell>
          <cell r="B104">
            <v>1630101</v>
          </cell>
          <cell r="C104" t="str">
            <v xml:space="preserve"> PEMBAYARAN DIMUKA SEWA KANTOR </v>
          </cell>
          <cell r="D104">
            <v>3680308020.3400002</v>
          </cell>
          <cell r="E104">
            <v>38313500</v>
          </cell>
          <cell r="F104">
            <v>123695993</v>
          </cell>
          <cell r="G104">
            <v>3594925527.3400002</v>
          </cell>
          <cell r="H104">
            <v>-85382493</v>
          </cell>
        </row>
        <row r="105">
          <cell r="A105">
            <v>1630102</v>
          </cell>
          <cell r="B105">
            <v>1630102</v>
          </cell>
          <cell r="C105" t="str">
            <v xml:space="preserve"> PEMBAYARAN DIMUKA SEWA RUMAH DINAS </v>
          </cell>
          <cell r="D105">
            <v>110501347.89</v>
          </cell>
          <cell r="E105">
            <v>0</v>
          </cell>
          <cell r="F105">
            <v>30817877</v>
          </cell>
          <cell r="G105">
            <v>79683470.890000001</v>
          </cell>
          <cell r="H105">
            <v>-30817877</v>
          </cell>
        </row>
        <row r="106">
          <cell r="A106">
            <v>1630103</v>
          </cell>
          <cell r="B106">
            <v>1630103</v>
          </cell>
          <cell r="C106" t="str">
            <v xml:space="preserve"> PEMBAYARAN DIMUKA PREMI ASURANSI </v>
          </cell>
          <cell r="D106">
            <v>621689336.99000001</v>
          </cell>
          <cell r="E106">
            <v>55951768</v>
          </cell>
          <cell r="F106">
            <v>4188679</v>
          </cell>
          <cell r="G106">
            <v>673452425.99000001</v>
          </cell>
          <cell r="H106">
            <v>51763089</v>
          </cell>
        </row>
        <row r="107">
          <cell r="A107">
            <v>1630104</v>
          </cell>
          <cell r="B107">
            <v>1630104</v>
          </cell>
          <cell r="C107" t="str">
            <v xml:space="preserve"> PEMBAYARAN DIMUKA PERJALANAN DINAS </v>
          </cell>
          <cell r="D107">
            <v>0</v>
          </cell>
          <cell r="E107">
            <v>16027000</v>
          </cell>
          <cell r="F107">
            <v>0</v>
          </cell>
          <cell r="G107">
            <v>16027000</v>
          </cell>
          <cell r="H107">
            <v>16027000</v>
          </cell>
        </row>
        <row r="108">
          <cell r="A108">
            <v>1630191</v>
          </cell>
          <cell r="B108">
            <v>1630191</v>
          </cell>
          <cell r="C108" t="str">
            <v xml:space="preserve"> PEMBAYARAN DIMUKA LAIN-LAIN </v>
          </cell>
          <cell r="D108">
            <v>320491659.44</v>
          </cell>
          <cell r="E108">
            <v>0</v>
          </cell>
          <cell r="F108">
            <v>13733334</v>
          </cell>
          <cell r="G108">
            <v>306758325.44</v>
          </cell>
          <cell r="H108">
            <v>-13733334</v>
          </cell>
        </row>
        <row r="109">
          <cell r="A109">
            <v>1630201</v>
          </cell>
          <cell r="B109">
            <v>1630201</v>
          </cell>
          <cell r="C109" t="str">
            <v> PEMBAYARAN DIMUKA UANG MUKA PEMBELIAN BARA</v>
          </cell>
          <cell r="D109">
            <v>4164500</v>
          </cell>
          <cell r="E109">
            <v>39175000</v>
          </cell>
          <cell r="F109">
            <v>10000000</v>
          </cell>
          <cell r="G109">
            <v>33339500</v>
          </cell>
          <cell r="H109">
            <v>29175000</v>
          </cell>
        </row>
        <row r="110">
          <cell r="A110">
            <v>1630203</v>
          </cell>
          <cell r="B110">
            <v>1630203</v>
          </cell>
          <cell r="C110" t="str">
            <v xml:space="preserve"> PEMBAYARAN DIMUKA UANG MUKA AKTIVA TETAP </v>
          </cell>
          <cell r="D110">
            <v>0</v>
          </cell>
          <cell r="E110">
            <v>7896000</v>
          </cell>
          <cell r="F110">
            <v>0</v>
          </cell>
          <cell r="G110">
            <v>7896000</v>
          </cell>
          <cell r="H110">
            <v>7896000</v>
          </cell>
        </row>
        <row r="111">
          <cell r="A111">
            <v>1630204</v>
          </cell>
          <cell r="B111">
            <v>1630204</v>
          </cell>
          <cell r="C111" t="str">
            <v> PEMBAYARAN DIMUKA UANG MUKA PERAYAAN/ACARA</v>
          </cell>
          <cell r="D111">
            <v>141818476.33000001</v>
          </cell>
          <cell r="E111">
            <v>47467650</v>
          </cell>
          <cell r="F111">
            <v>0</v>
          </cell>
          <cell r="G111">
            <v>189286126.33000001</v>
          </cell>
          <cell r="H111">
            <v>47467650</v>
          </cell>
        </row>
        <row r="112">
          <cell r="A112">
            <v>1630205</v>
          </cell>
          <cell r="B112">
            <v>1630205</v>
          </cell>
          <cell r="C112" t="str">
            <v> PEMBAYARAN DIMUKA UANG MUKA UANG MUKA PRO</v>
          </cell>
          <cell r="D112">
            <v>80226450</v>
          </cell>
          <cell r="E112">
            <v>0</v>
          </cell>
          <cell r="F112">
            <v>0</v>
          </cell>
          <cell r="G112">
            <v>80226450</v>
          </cell>
          <cell r="H112">
            <v>0</v>
          </cell>
        </row>
        <row r="113">
          <cell r="A113">
            <v>1630207</v>
          </cell>
          <cell r="B113">
            <v>1630207</v>
          </cell>
          <cell r="C113" t="str">
            <v xml:space="preserve"> PEMBAYARAN DIMUKA GARANSI </v>
          </cell>
          <cell r="D113">
            <v>-18000000</v>
          </cell>
          <cell r="E113">
            <v>303048000</v>
          </cell>
          <cell r="F113">
            <v>0</v>
          </cell>
          <cell r="G113">
            <v>285048000</v>
          </cell>
          <cell r="H113">
            <v>303048000</v>
          </cell>
        </row>
        <row r="114">
          <cell r="A114">
            <v>1630208</v>
          </cell>
          <cell r="B114">
            <v>1630208</v>
          </cell>
          <cell r="C114" t="str">
            <v xml:space="preserve"> PBYR BIAYA DIMUKA - BEBAN ASURANSI KSHT </v>
          </cell>
          <cell r="D114">
            <v>43443760.310000002</v>
          </cell>
          <cell r="E114">
            <v>0</v>
          </cell>
          <cell r="F114">
            <v>63799310</v>
          </cell>
          <cell r="G114">
            <v>-20355549.690000001</v>
          </cell>
          <cell r="H114">
            <v>-63799310</v>
          </cell>
        </row>
        <row r="115">
          <cell r="A115">
            <v>1630209</v>
          </cell>
          <cell r="B115">
            <v>1630209</v>
          </cell>
          <cell r="C115" t="str">
            <v xml:space="preserve"> PBYR DIMUKA LAIN - USD </v>
          </cell>
          <cell r="D115">
            <v>13167950</v>
          </cell>
          <cell r="E115">
            <v>0</v>
          </cell>
          <cell r="F115">
            <v>0</v>
          </cell>
          <cell r="G115">
            <v>13167950</v>
          </cell>
          <cell r="H115">
            <v>0</v>
          </cell>
        </row>
        <row r="116">
          <cell r="A116">
            <v>1630291</v>
          </cell>
          <cell r="B116">
            <v>1630291</v>
          </cell>
          <cell r="C116" t="str">
            <v xml:space="preserve"> PEMBAYARAN DIMUKA UANG MUKA LAIN-LAIN </v>
          </cell>
          <cell r="D116">
            <v>713013178.39999998</v>
          </cell>
          <cell r="E116">
            <v>121738483</v>
          </cell>
          <cell r="F116">
            <v>9580486</v>
          </cell>
          <cell r="G116">
            <v>825171175.39999998</v>
          </cell>
          <cell r="H116">
            <v>112157997</v>
          </cell>
        </row>
        <row r="117">
          <cell r="A117">
            <v>1640101</v>
          </cell>
          <cell r="B117">
            <v>1640101</v>
          </cell>
          <cell r="C117" t="str">
            <v xml:space="preserve"> BEBAN DITANGGUHKAN BY PENDIRIAN </v>
          </cell>
          <cell r="D117">
            <v>-0.4</v>
          </cell>
          <cell r="E117">
            <v>0</v>
          </cell>
          <cell r="F117">
            <v>0</v>
          </cell>
          <cell r="G117">
            <v>-0.4</v>
          </cell>
          <cell r="H117">
            <v>0</v>
          </cell>
        </row>
        <row r="118">
          <cell r="A118">
            <v>1640103</v>
          </cell>
          <cell r="B118">
            <v>1640103</v>
          </cell>
          <cell r="C118" t="str">
            <v xml:space="preserve"> BEBAN DITANGGUHKAN RENOVASI KANTOR </v>
          </cell>
          <cell r="D118">
            <v>1157896346.8800001</v>
          </cell>
          <cell r="E118">
            <v>18002442</v>
          </cell>
          <cell r="F118">
            <v>0</v>
          </cell>
          <cell r="G118">
            <v>1175898788.8800001</v>
          </cell>
          <cell r="H118">
            <v>18002442</v>
          </cell>
        </row>
        <row r="119">
          <cell r="A119">
            <v>1700401</v>
          </cell>
          <cell r="B119">
            <v>1700401</v>
          </cell>
          <cell r="C119" t="str">
            <v> AKTIVA TETAP HP DPS TANAH DAN BANGUNAN KA</v>
          </cell>
          <cell r="D119">
            <v>17593673029.490002</v>
          </cell>
          <cell r="E119">
            <v>0</v>
          </cell>
          <cell r="F119">
            <v>0</v>
          </cell>
          <cell r="G119">
            <v>17593673029.490002</v>
          </cell>
          <cell r="H119">
            <v>0</v>
          </cell>
        </row>
        <row r="120">
          <cell r="A120">
            <v>1700402</v>
          </cell>
          <cell r="B120">
            <v>1700402</v>
          </cell>
          <cell r="C120" t="str">
            <v xml:space="preserve"> AKTIVA TETAP HP DPS PRLT KANTOR </v>
          </cell>
          <cell r="D120">
            <v>1591778612.5</v>
          </cell>
          <cell r="E120">
            <v>3521000</v>
          </cell>
          <cell r="F120">
            <v>0</v>
          </cell>
          <cell r="G120">
            <v>1595299612.5</v>
          </cell>
          <cell r="H120">
            <v>3521000</v>
          </cell>
        </row>
        <row r="121">
          <cell r="A121">
            <v>1700403</v>
          </cell>
          <cell r="B121">
            <v>1700403</v>
          </cell>
          <cell r="C121" t="str">
            <v xml:space="preserve"> AKTIVA TETAP HARGA PEROLEHAN DPS PERABOT </v>
          </cell>
          <cell r="D121">
            <v>943900189</v>
          </cell>
          <cell r="E121">
            <v>3796000</v>
          </cell>
          <cell r="F121">
            <v>0</v>
          </cell>
          <cell r="G121">
            <v>947696189</v>
          </cell>
          <cell r="H121">
            <v>3796000</v>
          </cell>
        </row>
        <row r="122">
          <cell r="A122">
            <v>1700404</v>
          </cell>
          <cell r="B122">
            <v>1700404</v>
          </cell>
          <cell r="C122" t="str">
            <v> AKTIVA TETAP HARGA PEROLEHAN DPS KENDARAA</v>
          </cell>
          <cell r="D122">
            <v>990150000.34000003</v>
          </cell>
          <cell r="E122">
            <v>0</v>
          </cell>
          <cell r="F122">
            <v>5000000</v>
          </cell>
          <cell r="G122">
            <v>985150000.34000003</v>
          </cell>
          <cell r="H122">
            <v>-5000000</v>
          </cell>
        </row>
        <row r="123">
          <cell r="A123">
            <v>1700405</v>
          </cell>
          <cell r="B123">
            <v>1700405</v>
          </cell>
          <cell r="C123" t="str">
            <v> AKTIVA TETAP HARGA PEROLEHAN DPS KOMPUTER</v>
          </cell>
          <cell r="D123">
            <v>6420673076.79</v>
          </cell>
          <cell r="E123">
            <v>28174000</v>
          </cell>
          <cell r="F123">
            <v>0</v>
          </cell>
          <cell r="G123">
            <v>6448847076.79</v>
          </cell>
          <cell r="H123">
            <v>28174000</v>
          </cell>
        </row>
        <row r="124">
          <cell r="A124">
            <v>1700801</v>
          </cell>
          <cell r="B124">
            <v>1700801</v>
          </cell>
          <cell r="C124" t="str">
            <v> AKTIVA TETAP AK. PENY DPS TANAH DAN BGN K</v>
          </cell>
          <cell r="D124">
            <v>-1910289678.6800001</v>
          </cell>
          <cell r="E124">
            <v>0</v>
          </cell>
          <cell r="F124">
            <v>40264688</v>
          </cell>
          <cell r="G124">
            <v>-1950554366.6800001</v>
          </cell>
          <cell r="H124">
            <v>-40264688</v>
          </cell>
        </row>
        <row r="125">
          <cell r="A125">
            <v>1700802</v>
          </cell>
          <cell r="B125">
            <v>1700802</v>
          </cell>
          <cell r="C125" t="str">
            <v xml:space="preserve"> AKTIVA TETAP AK. PENY DPS PRLT KANTOR </v>
          </cell>
          <cell r="D125">
            <v>-1217325119.24</v>
          </cell>
          <cell r="E125">
            <v>0</v>
          </cell>
          <cell r="F125">
            <v>19834336</v>
          </cell>
          <cell r="G125">
            <v>-1237159455.24</v>
          </cell>
          <cell r="H125">
            <v>-19834336</v>
          </cell>
        </row>
        <row r="126">
          <cell r="A126">
            <v>1700803</v>
          </cell>
          <cell r="B126">
            <v>1700803</v>
          </cell>
          <cell r="C126" t="str">
            <v> AKTIVA TETAP AKUMULASI PENYUSUTAN DPS PER</v>
          </cell>
          <cell r="D126">
            <v>-699324279.41999996</v>
          </cell>
          <cell r="E126">
            <v>0</v>
          </cell>
          <cell r="F126">
            <v>11337320</v>
          </cell>
          <cell r="G126">
            <v>-710661599.41999996</v>
          </cell>
          <cell r="H126">
            <v>-11337320</v>
          </cell>
        </row>
        <row r="127">
          <cell r="A127">
            <v>1700804</v>
          </cell>
          <cell r="B127">
            <v>1700804</v>
          </cell>
          <cell r="C127" t="str">
            <v> AKTIVA TETAP AKUMULASI PENYUSUTAN DPS KEN</v>
          </cell>
          <cell r="D127">
            <v>-362090624</v>
          </cell>
          <cell r="E127">
            <v>0</v>
          </cell>
          <cell r="F127">
            <v>10104688</v>
          </cell>
          <cell r="G127">
            <v>-372195312</v>
          </cell>
          <cell r="H127">
            <v>-10104688</v>
          </cell>
        </row>
        <row r="128">
          <cell r="A128">
            <v>1700805</v>
          </cell>
          <cell r="B128">
            <v>1700805</v>
          </cell>
          <cell r="C128" t="str">
            <v> AKTIVA TETAP AKUMULASI PENYUSUTAN DPS KOM</v>
          </cell>
          <cell r="D128">
            <v>-4963778428</v>
          </cell>
          <cell r="E128">
            <v>0</v>
          </cell>
          <cell r="F128">
            <v>88810462</v>
          </cell>
          <cell r="G128">
            <v>-5052588890</v>
          </cell>
          <cell r="H128">
            <v>-88810462</v>
          </cell>
        </row>
        <row r="129">
          <cell r="A129">
            <v>1800101</v>
          </cell>
          <cell r="B129">
            <v>1800101</v>
          </cell>
          <cell r="C129" t="str">
            <v xml:space="preserve"> PERSEDIAAN ALAT TULIS KANTOR (ATK) </v>
          </cell>
          <cell r="D129">
            <v>2302976.63</v>
          </cell>
          <cell r="E129">
            <v>0</v>
          </cell>
          <cell r="F129">
            <v>0</v>
          </cell>
          <cell r="G129">
            <v>2302976.63</v>
          </cell>
          <cell r="H129">
            <v>0</v>
          </cell>
        </row>
        <row r="130">
          <cell r="A130">
            <v>1800102</v>
          </cell>
          <cell r="B130">
            <v>1800102</v>
          </cell>
          <cell r="C130" t="str">
            <v xml:space="preserve"> PERSEDIAAN METERAI </v>
          </cell>
          <cell r="D130">
            <v>-15000000.08</v>
          </cell>
          <cell r="E130">
            <v>15000000</v>
          </cell>
          <cell r="F130">
            <v>0</v>
          </cell>
          <cell r="G130">
            <v>-0.08</v>
          </cell>
          <cell r="H130">
            <v>15000000</v>
          </cell>
        </row>
        <row r="131">
          <cell r="A131">
            <v>1800103</v>
          </cell>
          <cell r="B131">
            <v>1800103</v>
          </cell>
          <cell r="C131" t="str">
            <v xml:space="preserve"> PERANGKAT LUNAK </v>
          </cell>
          <cell r="D131">
            <v>353913020.02999997</v>
          </cell>
          <cell r="E131">
            <v>0</v>
          </cell>
          <cell r="F131">
            <v>0</v>
          </cell>
          <cell r="G131">
            <v>353913020.02999997</v>
          </cell>
          <cell r="H131">
            <v>0</v>
          </cell>
        </row>
        <row r="132">
          <cell r="A132">
            <v>1800104</v>
          </cell>
          <cell r="B132">
            <v>1800104</v>
          </cell>
          <cell r="C132" t="str">
            <v xml:space="preserve"> GOODWILL </v>
          </cell>
          <cell r="D132">
            <v>1429992941.8900001</v>
          </cell>
          <cell r="E132">
            <v>0</v>
          </cell>
          <cell r="F132">
            <v>0</v>
          </cell>
          <cell r="G132">
            <v>1429992941.8900001</v>
          </cell>
          <cell r="H132">
            <v>0</v>
          </cell>
        </row>
        <row r="133">
          <cell r="A133">
            <v>1800106</v>
          </cell>
          <cell r="B133">
            <v>1800106</v>
          </cell>
          <cell r="C133" t="str">
            <v xml:space="preserve"> PERSEDIAAN BARANG CETAKAN </v>
          </cell>
          <cell r="D133">
            <v>255658598.94999999</v>
          </cell>
          <cell r="E133">
            <v>72647400</v>
          </cell>
          <cell r="F133">
            <v>0</v>
          </cell>
          <cell r="G133">
            <v>328305998.94999999</v>
          </cell>
          <cell r="H133">
            <v>72647400</v>
          </cell>
        </row>
        <row r="134">
          <cell r="A134">
            <v>1990101</v>
          </cell>
          <cell r="B134">
            <v>1990101</v>
          </cell>
          <cell r="C134" t="str">
            <v xml:space="preserve"> AKTIVA LAIN-LAIN </v>
          </cell>
          <cell r="D134">
            <v>598791926.36000001</v>
          </cell>
          <cell r="E134">
            <v>3365000</v>
          </cell>
          <cell r="F134">
            <v>20865000</v>
          </cell>
          <cell r="G134">
            <v>581291926.36000001</v>
          </cell>
          <cell r="H134">
            <v>-17500000</v>
          </cell>
        </row>
        <row r="135">
          <cell r="A135">
            <v>2010101</v>
          </cell>
          <cell r="B135">
            <v>2010101</v>
          </cell>
          <cell r="C135" t="str">
            <v xml:space="preserve"> MANFAAT POLIS MASA DEPAN FAMILY TKF AKUN </v>
          </cell>
          <cell r="D135">
            <v>-226095787786.95999</v>
          </cell>
          <cell r="E135">
            <v>0</v>
          </cell>
          <cell r="F135">
            <v>0</v>
          </cell>
          <cell r="G135">
            <v>-226095787786.95999</v>
          </cell>
          <cell r="H135">
            <v>0</v>
          </cell>
        </row>
        <row r="136">
          <cell r="A136">
            <v>2010201</v>
          </cell>
          <cell r="B136">
            <v>2010201</v>
          </cell>
          <cell r="C136" t="str">
            <v> MANFAAT POLIS MASA DEPAN GRUP TKF AKUN KH</v>
          </cell>
          <cell r="D136">
            <v>-4672595435.5600004</v>
          </cell>
          <cell r="E136">
            <v>0</v>
          </cell>
          <cell r="F136">
            <v>0</v>
          </cell>
          <cell r="G136">
            <v>-4672595435.5600004</v>
          </cell>
          <cell r="H136">
            <v>0</v>
          </cell>
        </row>
        <row r="137">
          <cell r="A137">
            <v>2011201</v>
          </cell>
          <cell r="B137">
            <v>2011201</v>
          </cell>
          <cell r="C137" t="str">
            <v> MANFAAT POLIS MD GRP TKF AKUN KHAS PST THL</v>
          </cell>
          <cell r="D137">
            <v>-0.4</v>
          </cell>
          <cell r="E137">
            <v>0</v>
          </cell>
          <cell r="F137">
            <v>0</v>
          </cell>
          <cell r="G137">
            <v>-0.4</v>
          </cell>
          <cell r="H137">
            <v>0</v>
          </cell>
        </row>
        <row r="138">
          <cell r="A138">
            <v>2019001</v>
          </cell>
          <cell r="B138">
            <v>2019001</v>
          </cell>
          <cell r="C138" t="str">
            <v xml:space="preserve"> MANFAAT POLIS UNIT LINK </v>
          </cell>
          <cell r="D138">
            <v>-53197319678</v>
          </cell>
          <cell r="E138">
            <v>0</v>
          </cell>
          <cell r="F138">
            <v>0</v>
          </cell>
          <cell r="G138">
            <v>-53197319678</v>
          </cell>
          <cell r="H138">
            <v>0</v>
          </cell>
        </row>
        <row r="139">
          <cell r="A139">
            <v>2020101</v>
          </cell>
          <cell r="B139">
            <v>2020101</v>
          </cell>
          <cell r="C139" t="str">
            <v xml:space="preserve"> UTANG KLAIM FAMILY TAKAFUL FUND </v>
          </cell>
          <cell r="D139">
            <v>-728881697.73000002</v>
          </cell>
          <cell r="E139">
            <v>2405097443.1399999</v>
          </cell>
          <cell r="F139">
            <v>2291971873.9400001</v>
          </cell>
          <cell r="G139">
            <v>-615756128.52999997</v>
          </cell>
          <cell r="H139">
            <v>113125569.19999981</v>
          </cell>
        </row>
        <row r="140">
          <cell r="A140">
            <v>2020201</v>
          </cell>
          <cell r="B140">
            <v>2020201</v>
          </cell>
          <cell r="C140" t="str">
            <v xml:space="preserve"> UTANG KLAIM GRUP BANK ASR TAKAFUL FUND </v>
          </cell>
          <cell r="D140">
            <v>-12599637.07</v>
          </cell>
          <cell r="E140">
            <v>1240395980.1400001</v>
          </cell>
          <cell r="F140">
            <v>1201918923.1400001</v>
          </cell>
          <cell r="G140">
            <v>25877419.93</v>
          </cell>
          <cell r="H140">
            <v>38477057</v>
          </cell>
        </row>
        <row r="141">
          <cell r="A141">
            <v>2020202</v>
          </cell>
          <cell r="B141">
            <v>2020202</v>
          </cell>
          <cell r="C141" t="str">
            <v> UTANG KLAIM GRUP NON BANK ASR TAKAFUL FUN</v>
          </cell>
          <cell r="D141">
            <v>-1729648779.4100001</v>
          </cell>
          <cell r="E141">
            <v>415337033.25999999</v>
          </cell>
          <cell r="F141">
            <v>391450661.35000002</v>
          </cell>
          <cell r="G141">
            <v>-1705762407.5</v>
          </cell>
          <cell r="H141">
            <v>23886371.909999967</v>
          </cell>
        </row>
        <row r="142">
          <cell r="A142">
            <v>2020301</v>
          </cell>
          <cell r="B142">
            <v>2020301</v>
          </cell>
          <cell r="C142" t="str">
            <v xml:space="preserve"> UTANG KLAIM HEALTH TAKAFUL FUND </v>
          </cell>
          <cell r="D142">
            <v>1680904097.8099999</v>
          </cell>
          <cell r="E142">
            <v>2004002682.1300001</v>
          </cell>
          <cell r="F142">
            <v>1209412801.5999999</v>
          </cell>
          <cell r="G142">
            <v>2475493978.3400002</v>
          </cell>
          <cell r="H142">
            <v>794589880.53000021</v>
          </cell>
        </row>
        <row r="143">
          <cell r="A143">
            <v>2020501</v>
          </cell>
          <cell r="B143">
            <v>2020501</v>
          </cell>
          <cell r="C143" t="str">
            <v xml:space="preserve"> UTANG KLAIM FAMILY TAKAFUL FUND USD </v>
          </cell>
          <cell r="D143">
            <v>185049693.13</v>
          </cell>
          <cell r="E143">
            <v>108973594.28</v>
          </cell>
          <cell r="F143">
            <v>156503006.40000001</v>
          </cell>
          <cell r="G143">
            <v>137520281.00999999</v>
          </cell>
          <cell r="H143">
            <v>0</v>
          </cell>
        </row>
        <row r="144">
          <cell r="A144">
            <v>2020601</v>
          </cell>
          <cell r="B144">
            <v>2020601</v>
          </cell>
          <cell r="C144" t="str">
            <v> UTANG KLAIM GRUP BANK ASR TAKAFUL FUND US</v>
          </cell>
          <cell r="D144">
            <v>39657851</v>
          </cell>
          <cell r="E144">
            <v>0</v>
          </cell>
          <cell r="F144">
            <v>0</v>
          </cell>
          <cell r="G144">
            <v>39657851</v>
          </cell>
          <cell r="H144">
            <v>0</v>
          </cell>
        </row>
        <row r="145">
          <cell r="A145">
            <v>2030101</v>
          </cell>
          <cell r="B145">
            <v>2030101</v>
          </cell>
          <cell r="C145" t="str">
            <v> PYBMP GRUP BANCAS TAKAFUL FUND AKUN KHAS</v>
          </cell>
          <cell r="D145">
            <v>-5348979102</v>
          </cell>
          <cell r="E145">
            <v>0</v>
          </cell>
          <cell r="F145">
            <v>0</v>
          </cell>
          <cell r="G145">
            <v>-5348979102</v>
          </cell>
          <cell r="H145">
            <v>0</v>
          </cell>
        </row>
        <row r="146">
          <cell r="A146">
            <v>2031101</v>
          </cell>
          <cell r="B146">
            <v>2031101</v>
          </cell>
          <cell r="C146" t="str">
            <v> ESTIMASI KEWAJIBAN KLAIM FAMILY TAKAFUL FU</v>
          </cell>
          <cell r="D146">
            <v>-781095895</v>
          </cell>
          <cell r="E146">
            <v>0</v>
          </cell>
          <cell r="F146">
            <v>0</v>
          </cell>
          <cell r="G146">
            <v>-781095895</v>
          </cell>
          <cell r="H146">
            <v>0</v>
          </cell>
        </row>
        <row r="147">
          <cell r="A147">
            <v>2040101</v>
          </cell>
          <cell r="B147">
            <v>2040101</v>
          </cell>
          <cell r="C147" t="str">
            <v xml:space="preserve"> TITIPAN PREMI FAMILY TAKAFUL FUND </v>
          </cell>
          <cell r="D147">
            <v>12867218477.32</v>
          </cell>
          <cell r="E147">
            <v>9950341721.7999992</v>
          </cell>
          <cell r="F147">
            <v>5010181291.3199997</v>
          </cell>
          <cell r="G147">
            <v>17807378907.799999</v>
          </cell>
          <cell r="H147">
            <v>4940160430.4799995</v>
          </cell>
        </row>
        <row r="148">
          <cell r="A148">
            <v>2040201</v>
          </cell>
          <cell r="B148">
            <v>2040201</v>
          </cell>
          <cell r="C148" t="str">
            <v> TITIPAN PREMI GRUP BANK ASSURANCE TAKAFUL</v>
          </cell>
          <cell r="D148">
            <v>-82907831.200000003</v>
          </cell>
          <cell r="E148">
            <v>243600</v>
          </cell>
          <cell r="F148">
            <v>5313</v>
          </cell>
          <cell r="G148">
            <v>-82669544.200000003</v>
          </cell>
          <cell r="H148">
            <v>238287</v>
          </cell>
        </row>
        <row r="149">
          <cell r="A149">
            <v>2040202</v>
          </cell>
          <cell r="B149">
            <v>2040202</v>
          </cell>
          <cell r="C149" t="str">
            <v> TITIPAN PREMI GRUP NON BANK ASR TAKAFUL F</v>
          </cell>
          <cell r="D149">
            <v>1180156721</v>
          </cell>
          <cell r="E149">
            <v>239380250</v>
          </cell>
          <cell r="F149">
            <v>259890950</v>
          </cell>
          <cell r="G149">
            <v>1159646021</v>
          </cell>
          <cell r="H149">
            <v>-20510700</v>
          </cell>
        </row>
        <row r="150">
          <cell r="A150">
            <v>2040301</v>
          </cell>
          <cell r="B150">
            <v>2040301</v>
          </cell>
          <cell r="C150" t="str">
            <v xml:space="preserve"> TITIPAN PREMI HEALTH TAKAFUL FUND </v>
          </cell>
          <cell r="D150">
            <v>-68518160.129999995</v>
          </cell>
          <cell r="E150">
            <v>0</v>
          </cell>
          <cell r="F150">
            <v>1635150</v>
          </cell>
          <cell r="G150">
            <v>-70153310.129999995</v>
          </cell>
          <cell r="H150">
            <v>-1635150</v>
          </cell>
        </row>
        <row r="151">
          <cell r="A151">
            <v>2040401</v>
          </cell>
          <cell r="B151">
            <v>2040401</v>
          </cell>
          <cell r="C151" t="str">
            <v xml:space="preserve"> TITIPAN PREMI FAMILY TAKAFUL FUND USD </v>
          </cell>
          <cell r="D151">
            <v>-1832999.57</v>
          </cell>
          <cell r="E151">
            <v>0</v>
          </cell>
          <cell r="F151">
            <v>0</v>
          </cell>
          <cell r="G151">
            <v>-1832999.57</v>
          </cell>
          <cell r="H151">
            <v>0</v>
          </cell>
        </row>
        <row r="152">
          <cell r="A152">
            <v>2040501</v>
          </cell>
          <cell r="B152">
            <v>2040501</v>
          </cell>
          <cell r="C152" t="str">
            <v> TITIPAN PREMI GRUP BANK ASSURANCE TAKAFUL</v>
          </cell>
          <cell r="D152">
            <v>2951000</v>
          </cell>
          <cell r="E152">
            <v>0</v>
          </cell>
          <cell r="F152">
            <v>0</v>
          </cell>
          <cell r="G152">
            <v>2951000</v>
          </cell>
          <cell r="H152">
            <v>0</v>
          </cell>
        </row>
        <row r="153">
          <cell r="A153">
            <v>2040701</v>
          </cell>
          <cell r="B153">
            <v>2040701</v>
          </cell>
          <cell r="C153" t="str">
            <v xml:space="preserve"> TITIPAN PREMI PREMI PEMULIHAN RUPIAH </v>
          </cell>
          <cell r="D153">
            <v>1508378838.6300001</v>
          </cell>
          <cell r="E153">
            <v>432794000</v>
          </cell>
          <cell r="F153">
            <v>274120000</v>
          </cell>
          <cell r="G153">
            <v>1667052838.6300001</v>
          </cell>
          <cell r="H153">
            <v>158674000</v>
          </cell>
        </row>
        <row r="154">
          <cell r="A154">
            <v>2040702</v>
          </cell>
          <cell r="B154">
            <v>2040702</v>
          </cell>
          <cell r="C154" t="str">
            <v xml:space="preserve"> TITIPAN PREMI PREMI PEMULIHAN USD </v>
          </cell>
          <cell r="D154">
            <v>9940792</v>
          </cell>
          <cell r="E154">
            <v>0</v>
          </cell>
          <cell r="F154">
            <v>2287000</v>
          </cell>
          <cell r="G154">
            <v>7653792</v>
          </cell>
          <cell r="H154">
            <v>-2287000</v>
          </cell>
        </row>
        <row r="155">
          <cell r="A155">
            <v>2040801</v>
          </cell>
          <cell r="B155">
            <v>2040801</v>
          </cell>
          <cell r="C155" t="str">
            <v xml:space="preserve"> TITIPAN PREMI LANJUTAN INDIVIDU RP </v>
          </cell>
          <cell r="D155">
            <v>17663956.07</v>
          </cell>
          <cell r="E155">
            <v>13600000.01</v>
          </cell>
          <cell r="F155">
            <v>9641312.9900000002</v>
          </cell>
          <cell r="G155">
            <v>21622643.09</v>
          </cell>
          <cell r="H155">
            <v>3958687.0199999996</v>
          </cell>
        </row>
        <row r="156">
          <cell r="A156">
            <v>2040802</v>
          </cell>
          <cell r="B156">
            <v>2040802</v>
          </cell>
          <cell r="C156" t="str">
            <v xml:space="preserve"> TITIPAN PREMI LANJUTAN INDIVIDU $ </v>
          </cell>
          <cell r="D156">
            <v>10857.48</v>
          </cell>
          <cell r="E156">
            <v>91.2</v>
          </cell>
          <cell r="F156">
            <v>17472</v>
          </cell>
          <cell r="G156">
            <v>-6523.32</v>
          </cell>
          <cell r="H156">
            <v>-17380.8</v>
          </cell>
        </row>
        <row r="157">
          <cell r="A157">
            <v>2040803</v>
          </cell>
          <cell r="B157">
            <v>2040803</v>
          </cell>
          <cell r="C157" t="str">
            <v xml:space="preserve"> TITIPAN PREMI LANJUTAN KUMP. RP </v>
          </cell>
          <cell r="D157">
            <v>186536213.33000001</v>
          </cell>
          <cell r="E157">
            <v>3370000</v>
          </cell>
          <cell r="F157">
            <v>8530000</v>
          </cell>
          <cell r="G157">
            <v>181376213.33000001</v>
          </cell>
          <cell r="H157">
            <v>-5160000</v>
          </cell>
        </row>
        <row r="158">
          <cell r="A158">
            <v>2040901</v>
          </cell>
          <cell r="B158">
            <v>2040901</v>
          </cell>
          <cell r="C158" t="str">
            <v xml:space="preserve"> TITIPAN TITIPAN PREMI FAMILY TKF RP </v>
          </cell>
          <cell r="D158">
            <v>-87310155.269999996</v>
          </cell>
          <cell r="E158">
            <v>139571500</v>
          </cell>
          <cell r="F158">
            <v>135695350</v>
          </cell>
          <cell r="G158">
            <v>-83434005.269999996</v>
          </cell>
          <cell r="H158">
            <v>3876150</v>
          </cell>
        </row>
        <row r="159">
          <cell r="A159">
            <v>2040902</v>
          </cell>
          <cell r="B159">
            <v>2040902</v>
          </cell>
          <cell r="C159" t="str">
            <v xml:space="preserve"> TITIPAN TITIPAN PREMI FAMILY TKF USD </v>
          </cell>
          <cell r="D159">
            <v>-3067258.37</v>
          </cell>
          <cell r="E159">
            <v>0</v>
          </cell>
          <cell r="F159">
            <v>0</v>
          </cell>
          <cell r="G159">
            <v>-3067258.37</v>
          </cell>
          <cell r="H159">
            <v>0</v>
          </cell>
        </row>
        <row r="160">
          <cell r="A160">
            <v>2040903</v>
          </cell>
          <cell r="B160">
            <v>2040903</v>
          </cell>
          <cell r="C160" t="str">
            <v xml:space="preserve"> TITIPAN TITIPAN PREMI GRP BANK ASR TKF </v>
          </cell>
          <cell r="D160">
            <v>15570293.01</v>
          </cell>
          <cell r="E160">
            <v>22095863.699999999</v>
          </cell>
          <cell r="F160">
            <v>19289814.219999999</v>
          </cell>
          <cell r="G160">
            <v>18376342.489999998</v>
          </cell>
          <cell r="H160">
            <v>2806049.4800000004</v>
          </cell>
        </row>
        <row r="161">
          <cell r="A161">
            <v>2040904</v>
          </cell>
          <cell r="B161">
            <v>2040904</v>
          </cell>
          <cell r="C161" t="str">
            <v> TITIPAN TITIPAN PREMI GRP NON BANK ASR TKF</v>
          </cell>
          <cell r="D161">
            <v>-153603532.09</v>
          </cell>
          <cell r="E161">
            <v>125608800.04000001</v>
          </cell>
          <cell r="F161">
            <v>74178775</v>
          </cell>
          <cell r="G161">
            <v>-102173507.05</v>
          </cell>
          <cell r="H161">
            <v>51430025.040000007</v>
          </cell>
        </row>
        <row r="162">
          <cell r="A162">
            <v>2040905</v>
          </cell>
          <cell r="B162">
            <v>2040905</v>
          </cell>
          <cell r="C162" t="str">
            <v xml:space="preserve"> TITIPAN TITIPAN PREMI GRP KESEHATAN TKF </v>
          </cell>
          <cell r="D162">
            <v>-429927546.54000002</v>
          </cell>
          <cell r="E162">
            <v>266026972.5</v>
          </cell>
          <cell r="F162">
            <v>305145802</v>
          </cell>
          <cell r="G162">
            <v>-469046376.04000002</v>
          </cell>
          <cell r="H162">
            <v>-39118829.5</v>
          </cell>
        </row>
        <row r="163">
          <cell r="A163">
            <v>2041101</v>
          </cell>
          <cell r="B163">
            <v>2041101</v>
          </cell>
          <cell r="C163" t="str">
            <v xml:space="preserve"> TITIPAN PREMI STANDING INSTRUCTION </v>
          </cell>
          <cell r="D163">
            <v>-57983527.399999999</v>
          </cell>
          <cell r="E163">
            <v>700000</v>
          </cell>
          <cell r="F163">
            <v>3920000</v>
          </cell>
          <cell r="G163">
            <v>-61203527.399999999</v>
          </cell>
          <cell r="H163">
            <v>-3220000</v>
          </cell>
        </row>
        <row r="164">
          <cell r="A164">
            <v>2041201</v>
          </cell>
          <cell r="B164">
            <v>2041201</v>
          </cell>
          <cell r="C164" t="str">
            <v xml:space="preserve"> TITIPAN UNIT LINK </v>
          </cell>
          <cell r="D164">
            <v>-26780101.420000002</v>
          </cell>
          <cell r="E164">
            <v>323488000</v>
          </cell>
          <cell r="F164">
            <v>243588000</v>
          </cell>
          <cell r="G164">
            <v>53119898.579999998</v>
          </cell>
          <cell r="H164">
            <v>79900000</v>
          </cell>
        </row>
        <row r="165">
          <cell r="A165">
            <v>2050101</v>
          </cell>
          <cell r="B165">
            <v>2050101</v>
          </cell>
          <cell r="C165" t="str">
            <v> UTANG REASURANSI RUPIAH FAMILY TAKAFUL FUN</v>
          </cell>
          <cell r="D165">
            <v>1833004165.51</v>
          </cell>
          <cell r="E165">
            <v>0</v>
          </cell>
          <cell r="F165">
            <v>0</v>
          </cell>
          <cell r="G165">
            <v>1833004165.51</v>
          </cell>
          <cell r="H165">
            <v>0</v>
          </cell>
        </row>
        <row r="166">
          <cell r="A166">
            <v>2050102</v>
          </cell>
          <cell r="B166">
            <v>2050102</v>
          </cell>
          <cell r="C166" t="str">
            <v> UTANG REASURANSI RP GRP BANK ASR TAKAFUL F</v>
          </cell>
          <cell r="D166">
            <v>-90048423.090000004</v>
          </cell>
          <cell r="E166">
            <v>0</v>
          </cell>
          <cell r="F166">
            <v>0</v>
          </cell>
          <cell r="G166">
            <v>-90048423.090000004</v>
          </cell>
          <cell r="H166">
            <v>0</v>
          </cell>
        </row>
        <row r="167">
          <cell r="A167">
            <v>2050103</v>
          </cell>
          <cell r="B167">
            <v>2050103</v>
          </cell>
          <cell r="C167" t="str">
            <v> UTANG REASURANSI RP GRP NON BANK ASR TAKAF</v>
          </cell>
          <cell r="D167">
            <v>-1109909677.8</v>
          </cell>
          <cell r="E167">
            <v>0</v>
          </cell>
          <cell r="F167">
            <v>0</v>
          </cell>
          <cell r="G167">
            <v>-1109909677.8</v>
          </cell>
          <cell r="H167">
            <v>0</v>
          </cell>
        </row>
        <row r="168">
          <cell r="A168">
            <v>2050104</v>
          </cell>
          <cell r="B168">
            <v>2050104</v>
          </cell>
          <cell r="C168" t="str">
            <v> UTANG REASURANSI RUPIAH HEALTH TAKAFUL FUN</v>
          </cell>
          <cell r="D168">
            <v>-1259081207</v>
          </cell>
          <cell r="E168">
            <v>0</v>
          </cell>
          <cell r="F168">
            <v>0</v>
          </cell>
          <cell r="G168">
            <v>-1259081207</v>
          </cell>
          <cell r="H168">
            <v>0</v>
          </cell>
        </row>
        <row r="169">
          <cell r="A169">
            <v>2050201</v>
          </cell>
          <cell r="B169">
            <v>2050201</v>
          </cell>
          <cell r="C169" t="str">
            <v xml:space="preserve"> UTANG REASURANSI USD FAMILY TAKAFUL FUND </v>
          </cell>
          <cell r="D169">
            <v>14409188.810000001</v>
          </cell>
          <cell r="E169">
            <v>18040668</v>
          </cell>
          <cell r="F169">
            <v>0</v>
          </cell>
          <cell r="G169">
            <v>32449856.809999999</v>
          </cell>
          <cell r="H169">
            <v>18040668</v>
          </cell>
        </row>
        <row r="170">
          <cell r="A170">
            <v>2050202</v>
          </cell>
          <cell r="B170">
            <v>2050202</v>
          </cell>
          <cell r="C170" t="str">
            <v> UTANG REASURANSI USD GRUP BANK ASR TAKAFUL</v>
          </cell>
          <cell r="D170">
            <v>0.31</v>
          </cell>
          <cell r="E170">
            <v>0</v>
          </cell>
          <cell r="F170">
            <v>0</v>
          </cell>
          <cell r="G170">
            <v>0.31</v>
          </cell>
          <cell r="H170">
            <v>0</v>
          </cell>
        </row>
        <row r="171">
          <cell r="A171">
            <v>2060102</v>
          </cell>
          <cell r="B171">
            <v>2060102</v>
          </cell>
          <cell r="C171" t="str">
            <v xml:space="preserve"> TRANSAKSI DALAM PROSES (BLM TERIDENT) THN </v>
          </cell>
          <cell r="D171">
            <v>-34290190.659999996</v>
          </cell>
          <cell r="E171">
            <v>0</v>
          </cell>
          <cell r="F171">
            <v>0</v>
          </cell>
          <cell r="G171">
            <v>-34290190.659999996</v>
          </cell>
          <cell r="H171">
            <v>0</v>
          </cell>
        </row>
        <row r="172">
          <cell r="A172">
            <v>2060103</v>
          </cell>
          <cell r="B172">
            <v>2060103</v>
          </cell>
          <cell r="C172" t="str">
            <v> TRANSAKSI DALAM PROSES (BLM TERIDENT) TH B</v>
          </cell>
          <cell r="D172">
            <v>-337500</v>
          </cell>
          <cell r="E172">
            <v>0</v>
          </cell>
          <cell r="F172">
            <v>0</v>
          </cell>
          <cell r="G172">
            <v>-337500</v>
          </cell>
          <cell r="H172">
            <v>0</v>
          </cell>
        </row>
        <row r="173">
          <cell r="A173">
            <v>2060104</v>
          </cell>
          <cell r="B173">
            <v>2060104</v>
          </cell>
          <cell r="C173" t="str">
            <v> TRANSAKSI DALAM PROSES (BLM TERIDENT) TH B</v>
          </cell>
          <cell r="D173">
            <v>42976574.5</v>
          </cell>
          <cell r="E173">
            <v>968540357.94000006</v>
          </cell>
          <cell r="F173">
            <v>780004616.84000003</v>
          </cell>
          <cell r="G173">
            <v>231512315.59999999</v>
          </cell>
          <cell r="H173">
            <v>188535741.10000002</v>
          </cell>
        </row>
        <row r="174">
          <cell r="A174">
            <v>2060201</v>
          </cell>
          <cell r="B174">
            <v>2060201</v>
          </cell>
          <cell r="C174" t="str">
            <v> TRANSAKSI DALAM PROSES (BLM TERIDENT) TH B</v>
          </cell>
          <cell r="D174">
            <v>8383617.1699999999</v>
          </cell>
          <cell r="E174">
            <v>17101.150000000001</v>
          </cell>
          <cell r="F174">
            <v>2087346.25</v>
          </cell>
          <cell r="G174">
            <v>6313372.0700000003</v>
          </cell>
          <cell r="H174">
            <v>-2070245.1</v>
          </cell>
        </row>
        <row r="175">
          <cell r="A175">
            <v>2060301</v>
          </cell>
          <cell r="B175">
            <v>2060301</v>
          </cell>
          <cell r="C175" t="str">
            <v xml:space="preserve"> TRANSAKSI DALAM PROSES BANCASS </v>
          </cell>
          <cell r="D175">
            <v>-451333648.30000001</v>
          </cell>
          <cell r="E175">
            <v>594330464.32000005</v>
          </cell>
          <cell r="F175">
            <v>1020723823.08</v>
          </cell>
          <cell r="G175">
            <v>-877727007.05999994</v>
          </cell>
          <cell r="H175">
            <v>-426393358.75999999</v>
          </cell>
        </row>
        <row r="176">
          <cell r="A176">
            <v>2060302</v>
          </cell>
          <cell r="B176">
            <v>2060302</v>
          </cell>
          <cell r="C176" t="str">
            <v xml:space="preserve"> TRANSAKSI DALAM PROSES ORDINARY </v>
          </cell>
          <cell r="D176">
            <v>-87586500</v>
          </cell>
          <cell r="E176">
            <v>81840966</v>
          </cell>
          <cell r="F176">
            <v>54064210</v>
          </cell>
          <cell r="G176">
            <v>-59809744</v>
          </cell>
          <cell r="H176">
            <v>27776756</v>
          </cell>
        </row>
        <row r="177">
          <cell r="A177">
            <v>2060303</v>
          </cell>
          <cell r="B177">
            <v>2060303</v>
          </cell>
          <cell r="C177" t="str">
            <v xml:space="preserve"> TRANSAKSI DALAM PROSES KESEHATAN </v>
          </cell>
          <cell r="D177">
            <v>-113344521</v>
          </cell>
          <cell r="E177">
            <v>321679946</v>
          </cell>
          <cell r="F177">
            <v>2073422614.9300001</v>
          </cell>
          <cell r="G177">
            <v>-1865087189.9300001</v>
          </cell>
          <cell r="H177">
            <v>-1751742668.9300001</v>
          </cell>
        </row>
        <row r="178">
          <cell r="A178">
            <v>2070101</v>
          </cell>
          <cell r="B178">
            <v>2070101</v>
          </cell>
          <cell r="C178" t="str">
            <v xml:space="preserve"> KEWAJIBAN UNIT LINK (PEMBELIAN UNIT) </v>
          </cell>
          <cell r="D178">
            <v>-11621361522.68</v>
          </cell>
          <cell r="E178">
            <v>4646151755.79</v>
          </cell>
          <cell r="F178">
            <v>8347501181.3100004</v>
          </cell>
          <cell r="G178">
            <v>-15322710948.200001</v>
          </cell>
          <cell r="H178">
            <v>-3701349425.5200005</v>
          </cell>
        </row>
        <row r="179">
          <cell r="A179">
            <v>2070102</v>
          </cell>
          <cell r="B179">
            <v>2070102</v>
          </cell>
          <cell r="C179" t="str">
            <v xml:space="preserve"> KEWAJIBAN UNIT LINK (PENJUALAN UNIT) </v>
          </cell>
          <cell r="D179">
            <v>-1319010488.0699999</v>
          </cell>
          <cell r="E179">
            <v>40025000</v>
          </cell>
          <cell r="F179">
            <v>550462996.88</v>
          </cell>
          <cell r="G179">
            <v>-1829448484.95</v>
          </cell>
          <cell r="H179">
            <v>-510437996.88</v>
          </cell>
        </row>
        <row r="180">
          <cell r="A180">
            <v>2100101</v>
          </cell>
          <cell r="B180">
            <v>2100101</v>
          </cell>
          <cell r="C180" t="str">
            <v xml:space="preserve"> UTANG KOMISI AGEN </v>
          </cell>
          <cell r="D180">
            <v>0.5</v>
          </cell>
          <cell r="E180">
            <v>0</v>
          </cell>
          <cell r="F180">
            <v>0</v>
          </cell>
          <cell r="G180">
            <v>0.5</v>
          </cell>
          <cell r="H180">
            <v>0</v>
          </cell>
        </row>
        <row r="181">
          <cell r="A181">
            <v>2100103</v>
          </cell>
          <cell r="B181">
            <v>2100103</v>
          </cell>
          <cell r="C181" t="str">
            <v xml:space="preserve"> UTANG DISKON RP </v>
          </cell>
          <cell r="D181">
            <v>-19160319.609999999</v>
          </cell>
          <cell r="E181">
            <v>4009299.05</v>
          </cell>
          <cell r="F181">
            <v>2939276.9</v>
          </cell>
          <cell r="G181">
            <v>-18090297.460000001</v>
          </cell>
          <cell r="H181">
            <v>1070022.1499999999</v>
          </cell>
        </row>
        <row r="182">
          <cell r="A182">
            <v>2200101</v>
          </cell>
          <cell r="B182">
            <v>2200101</v>
          </cell>
          <cell r="C182" t="str">
            <v xml:space="preserve"> UTANG PAJAK UTANG PAJAK PSL 21 </v>
          </cell>
          <cell r="D182">
            <v>-38834320.289999999</v>
          </cell>
          <cell r="E182">
            <v>181701473.66</v>
          </cell>
          <cell r="F182">
            <v>138669520.87</v>
          </cell>
          <cell r="G182">
            <v>4197632.5</v>
          </cell>
          <cell r="H182">
            <v>43031952.789999992</v>
          </cell>
        </row>
        <row r="183">
          <cell r="A183">
            <v>2200102</v>
          </cell>
          <cell r="B183">
            <v>2200102</v>
          </cell>
          <cell r="C183" t="str">
            <v xml:space="preserve"> UTANG PAJAK UTANG PAJAK PSL 23 </v>
          </cell>
          <cell r="D183">
            <v>-84046219.420000002</v>
          </cell>
          <cell r="E183">
            <v>42122919.189999998</v>
          </cell>
          <cell r="F183">
            <v>17173848.870000001</v>
          </cell>
          <cell r="G183">
            <v>-59097149.100000001</v>
          </cell>
          <cell r="H183">
            <v>24949070.319999997</v>
          </cell>
        </row>
        <row r="184">
          <cell r="A184">
            <v>2200104</v>
          </cell>
          <cell r="B184">
            <v>2200104</v>
          </cell>
          <cell r="C184" t="str">
            <v xml:space="preserve"> UTANG PAJAK UTANG PAJAK PSL 26 </v>
          </cell>
          <cell r="D184">
            <v>-9251649.1999999993</v>
          </cell>
          <cell r="E184">
            <v>0</v>
          </cell>
          <cell r="F184">
            <v>0</v>
          </cell>
          <cell r="G184">
            <v>-9251649.1999999993</v>
          </cell>
          <cell r="H184">
            <v>0</v>
          </cell>
        </row>
        <row r="185">
          <cell r="A185">
            <v>2200107</v>
          </cell>
          <cell r="B185">
            <v>2200107</v>
          </cell>
          <cell r="C185" t="str">
            <v xml:space="preserve"> UTANG PAJAK UTANG PAJAK PSL 4 (2) </v>
          </cell>
          <cell r="D185">
            <v>-24015085.530000001</v>
          </cell>
          <cell r="E185">
            <v>0</v>
          </cell>
          <cell r="F185">
            <v>3515000</v>
          </cell>
          <cell r="G185">
            <v>-27530085.530000001</v>
          </cell>
          <cell r="H185">
            <v>-3515000</v>
          </cell>
        </row>
        <row r="186">
          <cell r="A186">
            <v>2200108</v>
          </cell>
          <cell r="B186">
            <v>2200108</v>
          </cell>
          <cell r="C186" t="str">
            <v xml:space="preserve"> UTANG ZAKAT PESERTA </v>
          </cell>
          <cell r="D186">
            <v>-1050000</v>
          </cell>
          <cell r="E186">
            <v>0</v>
          </cell>
          <cell r="F186">
            <v>0</v>
          </cell>
          <cell r="G186">
            <v>-1050000</v>
          </cell>
          <cell r="H186">
            <v>0</v>
          </cell>
        </row>
        <row r="187">
          <cell r="A187">
            <v>2300101</v>
          </cell>
          <cell r="B187">
            <v>2300101</v>
          </cell>
          <cell r="C187" t="str">
            <v xml:space="preserve"> UTANG KEPADA PIHAK KE TIGA </v>
          </cell>
          <cell r="D187">
            <v>-849999.7</v>
          </cell>
          <cell r="E187">
            <v>0</v>
          </cell>
          <cell r="F187">
            <v>0</v>
          </cell>
          <cell r="G187">
            <v>-849999.7</v>
          </cell>
          <cell r="H187">
            <v>0</v>
          </cell>
        </row>
        <row r="188">
          <cell r="A188">
            <v>2400101</v>
          </cell>
          <cell r="B188">
            <v>2400101</v>
          </cell>
          <cell r="C188" t="str">
            <v xml:space="preserve"> UTANG LAIN-LAIN GAJI </v>
          </cell>
          <cell r="D188">
            <v>203358257.47999999</v>
          </cell>
          <cell r="E188">
            <v>179407267.69999999</v>
          </cell>
          <cell r="F188">
            <v>179463996.25999999</v>
          </cell>
          <cell r="G188">
            <v>203301528.91999999</v>
          </cell>
          <cell r="H188">
            <v>-56728.560000002384</v>
          </cell>
        </row>
        <row r="189">
          <cell r="A189">
            <v>2400102</v>
          </cell>
          <cell r="B189">
            <v>2400102</v>
          </cell>
          <cell r="C189" t="str">
            <v xml:space="preserve"> UTANG LAIN-LAIN ZAKAT PERUSAHAAN </v>
          </cell>
          <cell r="D189">
            <v>-330464466.31999999</v>
          </cell>
          <cell r="E189">
            <v>21031723.489999998</v>
          </cell>
          <cell r="F189">
            <v>16031723.48</v>
          </cell>
          <cell r="G189">
            <v>-325464466.31</v>
          </cell>
          <cell r="H189">
            <v>5000000.0099999979</v>
          </cell>
        </row>
        <row r="190">
          <cell r="A190">
            <v>2400103</v>
          </cell>
          <cell r="B190">
            <v>2400103</v>
          </cell>
          <cell r="C190" t="str">
            <v xml:space="preserve"> UTANG LAIN-LAIN MASBALAH </v>
          </cell>
          <cell r="D190">
            <v>-123551540.09999999</v>
          </cell>
          <cell r="E190">
            <v>1348.81</v>
          </cell>
          <cell r="F190">
            <v>2978255.29</v>
          </cell>
          <cell r="G190">
            <v>-126528446.58</v>
          </cell>
          <cell r="H190">
            <v>-2976906.48</v>
          </cell>
        </row>
        <row r="191">
          <cell r="A191">
            <v>2400105</v>
          </cell>
          <cell r="B191">
            <v>2400105</v>
          </cell>
          <cell r="C191" t="str">
            <v xml:space="preserve"> UTANG LAIN-LAIN AFILIASI </v>
          </cell>
          <cell r="D191">
            <v>-303702199.47000003</v>
          </cell>
          <cell r="E191">
            <v>0</v>
          </cell>
          <cell r="F191">
            <v>0</v>
          </cell>
          <cell r="G191">
            <v>-303702199.47000003</v>
          </cell>
          <cell r="H191">
            <v>0</v>
          </cell>
        </row>
        <row r="192">
          <cell r="A192">
            <v>2400108</v>
          </cell>
          <cell r="B192">
            <v>2400108</v>
          </cell>
          <cell r="C192" t="str">
            <v xml:space="preserve"> UTANG LAIN-LAIN </v>
          </cell>
          <cell r="D192">
            <v>-3686738350.5999999</v>
          </cell>
          <cell r="E192">
            <v>82287574.739999995</v>
          </cell>
          <cell r="F192">
            <v>91675483.090000004</v>
          </cell>
          <cell r="G192">
            <v>-3696126258.9499998</v>
          </cell>
          <cell r="H192">
            <v>-9387908.3500000089</v>
          </cell>
        </row>
        <row r="193">
          <cell r="A193">
            <v>2400109</v>
          </cell>
          <cell r="B193">
            <v>2400109</v>
          </cell>
          <cell r="C193" t="str">
            <v xml:space="preserve"> ESTIMASI MANFAAT PEKERJA </v>
          </cell>
          <cell r="D193">
            <v>-5365469399.5</v>
          </cell>
          <cell r="E193">
            <v>0</v>
          </cell>
          <cell r="F193">
            <v>0</v>
          </cell>
          <cell r="G193">
            <v>-5365469399.5</v>
          </cell>
          <cell r="H193">
            <v>0</v>
          </cell>
        </row>
        <row r="194">
          <cell r="A194">
            <v>2400110</v>
          </cell>
          <cell r="B194">
            <v>2400110</v>
          </cell>
          <cell r="C194" t="str">
            <v> UTANG LAIN - PENERIMAAN TDK TERIDENTIFIKAS</v>
          </cell>
          <cell r="D194">
            <v>12455225</v>
          </cell>
          <cell r="E194">
            <v>0</v>
          </cell>
          <cell r="F194">
            <v>0</v>
          </cell>
          <cell r="G194">
            <v>12455225</v>
          </cell>
          <cell r="H194">
            <v>0</v>
          </cell>
        </row>
        <row r="195">
          <cell r="A195">
            <v>2500101</v>
          </cell>
          <cell r="B195">
            <v>2500101</v>
          </cell>
          <cell r="C195" t="str">
            <v xml:space="preserve"> BIAYA YANG MASIH HARUS DIBAYAR </v>
          </cell>
          <cell r="D195">
            <v>578668271.90999997</v>
          </cell>
          <cell r="E195">
            <v>0</v>
          </cell>
          <cell r="F195">
            <v>0</v>
          </cell>
          <cell r="G195">
            <v>578668271.90999997</v>
          </cell>
          <cell r="H195">
            <v>0</v>
          </cell>
        </row>
        <row r="196">
          <cell r="A196">
            <v>2500102</v>
          </cell>
          <cell r="B196">
            <v>2500102</v>
          </cell>
          <cell r="C196" t="str">
            <v xml:space="preserve"> BIAYA YANG MASIH HARUS DIBAYAR </v>
          </cell>
          <cell r="D196">
            <v>-1728625600.29</v>
          </cell>
          <cell r="E196">
            <v>0</v>
          </cell>
          <cell r="F196">
            <v>254337131.46000001</v>
          </cell>
          <cell r="G196">
            <v>-1982962731.75</v>
          </cell>
          <cell r="H196">
            <v>-254337131.46000001</v>
          </cell>
        </row>
        <row r="197">
          <cell r="A197">
            <v>2800101</v>
          </cell>
          <cell r="B197">
            <v>2800101</v>
          </cell>
          <cell r="C197" t="str">
            <v xml:space="preserve"> KEWAJIBAN LAIN-LAIN </v>
          </cell>
          <cell r="D197">
            <v>-57091530.640000001</v>
          </cell>
          <cell r="E197">
            <v>58545753</v>
          </cell>
          <cell r="F197">
            <v>45745700</v>
          </cell>
          <cell r="G197">
            <v>-44291477.640000001</v>
          </cell>
          <cell r="H197">
            <v>12800053</v>
          </cell>
        </row>
        <row r="198">
          <cell r="A198">
            <v>3010101</v>
          </cell>
          <cell r="B198">
            <v>3010101</v>
          </cell>
          <cell r="C198" t="str">
            <v xml:space="preserve"> EKUITAS PT MODAL DISETOR </v>
          </cell>
          <cell r="D198">
            <v>-86793168560</v>
          </cell>
          <cell r="E198">
            <v>0</v>
          </cell>
          <cell r="F198">
            <v>0</v>
          </cell>
          <cell r="G198">
            <v>-86793168560</v>
          </cell>
          <cell r="H198">
            <v>0</v>
          </cell>
        </row>
        <row r="199">
          <cell r="A199">
            <v>3010201</v>
          </cell>
          <cell r="B199">
            <v>3010201</v>
          </cell>
          <cell r="C199" t="str">
            <v xml:space="preserve"> EKUITAS PT KENAIKAN (PENURUNAN) SBYBD </v>
          </cell>
          <cell r="D199">
            <v>-3087214867.1700001</v>
          </cell>
          <cell r="E199">
            <v>0</v>
          </cell>
          <cell r="F199">
            <v>0</v>
          </cell>
          <cell r="G199">
            <v>-3087214867.1700001</v>
          </cell>
          <cell r="H199">
            <v>0</v>
          </cell>
        </row>
        <row r="200">
          <cell r="A200">
            <v>3010301</v>
          </cell>
          <cell r="B200">
            <v>3010301</v>
          </cell>
          <cell r="C200" t="str">
            <v xml:space="preserve"> EKUITAS PT SALDO LABA DITAHAN </v>
          </cell>
          <cell r="D200">
            <v>18695011320.880001</v>
          </cell>
          <cell r="E200">
            <v>0</v>
          </cell>
          <cell r="F200">
            <v>0</v>
          </cell>
          <cell r="G200">
            <v>18695011320.880001</v>
          </cell>
          <cell r="H200">
            <v>0</v>
          </cell>
        </row>
        <row r="201">
          <cell r="A201">
            <v>3010302</v>
          </cell>
          <cell r="B201">
            <v>3010302</v>
          </cell>
          <cell r="C201" t="str">
            <v xml:space="preserve"> EKUITAS PT SALDO LABA BERJALAN </v>
          </cell>
          <cell r="D201">
            <v>0.14000000000000001</v>
          </cell>
          <cell r="E201">
            <v>0</v>
          </cell>
          <cell r="F201">
            <v>0</v>
          </cell>
          <cell r="G201">
            <v>0.14000000000000001</v>
          </cell>
          <cell r="H201">
            <v>0</v>
          </cell>
        </row>
        <row r="202">
          <cell r="A202">
            <v>4010101</v>
          </cell>
          <cell r="B202">
            <v>4010101</v>
          </cell>
          <cell r="C202" t="str">
            <v xml:space="preserve"> PP BRT RP FAMILY TAKAFUL FUND AKUN PST </v>
          </cell>
          <cell r="D202">
            <v>-12670879175.48</v>
          </cell>
          <cell r="E202">
            <v>10300000</v>
          </cell>
          <cell r="F202">
            <v>984483566.02999997</v>
          </cell>
          <cell r="G202">
            <v>-13645062741.51</v>
          </cell>
          <cell r="H202">
            <v>-974183566.02999997</v>
          </cell>
        </row>
        <row r="203">
          <cell r="A203">
            <v>4010102</v>
          </cell>
          <cell r="B203">
            <v>4010102</v>
          </cell>
          <cell r="C203" t="str">
            <v> PP BRT RP FAMILY TAKAFUL FUND AKUN KHAS PS</v>
          </cell>
          <cell r="D203">
            <v>-1977793776.5999999</v>
          </cell>
          <cell r="E203">
            <v>0</v>
          </cell>
          <cell r="F203">
            <v>195168313.84</v>
          </cell>
          <cell r="G203">
            <v>-2172962090.4400001</v>
          </cell>
          <cell r="H203">
            <v>-195168313.84</v>
          </cell>
        </row>
        <row r="204">
          <cell r="A204">
            <v>4010103</v>
          </cell>
          <cell r="B204">
            <v>4010103</v>
          </cell>
          <cell r="C204" t="str">
            <v> PP BRT RP FAMILY TAKAFUL FUND AKUN PST LO</v>
          </cell>
          <cell r="D204">
            <v>-10495525953.27</v>
          </cell>
          <cell r="E204">
            <v>0</v>
          </cell>
          <cell r="F204">
            <v>1362645720.5999999</v>
          </cell>
          <cell r="G204">
            <v>-11858171673.870001</v>
          </cell>
          <cell r="H204">
            <v>-1362645720.5999999</v>
          </cell>
        </row>
        <row r="205">
          <cell r="A205">
            <v>4010201</v>
          </cell>
          <cell r="B205">
            <v>4010201</v>
          </cell>
          <cell r="C205" t="str">
            <v xml:space="preserve"> PP BRT RP GRUP BA TAKAFUL FUND AKUN KHAS </v>
          </cell>
          <cell r="D205">
            <v>-25720637714.860001</v>
          </cell>
          <cell r="E205">
            <v>37977963.609999999</v>
          </cell>
          <cell r="F205">
            <v>2180532643.9200001</v>
          </cell>
          <cell r="G205">
            <v>-27863192395.169998</v>
          </cell>
          <cell r="H205">
            <v>-2142554680.3100002</v>
          </cell>
        </row>
        <row r="206">
          <cell r="A206">
            <v>4010202</v>
          </cell>
          <cell r="B206">
            <v>4010202</v>
          </cell>
          <cell r="C206" t="str">
            <v xml:space="preserve"> PP BRT RP GRUP BA TAKAFUL FUND LOADING </v>
          </cell>
          <cell r="D206">
            <v>-6602657805.7600002</v>
          </cell>
          <cell r="E206">
            <v>0</v>
          </cell>
          <cell r="F206">
            <v>894542603.20000005</v>
          </cell>
          <cell r="G206">
            <v>-7497200408.96</v>
          </cell>
          <cell r="H206">
            <v>-894542603.20000005</v>
          </cell>
        </row>
        <row r="207">
          <cell r="A207">
            <v>4010301</v>
          </cell>
          <cell r="B207">
            <v>4010301</v>
          </cell>
          <cell r="C207" t="str">
            <v> PP BRT RP GRUP NON BA TAKAFUL FUND AKUN P</v>
          </cell>
          <cell r="D207">
            <v>-7121890694.3199997</v>
          </cell>
          <cell r="E207">
            <v>0</v>
          </cell>
          <cell r="F207">
            <v>167601500.96000001</v>
          </cell>
          <cell r="G207">
            <v>-7289492195.2700005</v>
          </cell>
          <cell r="H207">
            <v>-167601500.96000001</v>
          </cell>
        </row>
        <row r="208">
          <cell r="A208">
            <v>4010302</v>
          </cell>
          <cell r="B208">
            <v>4010302</v>
          </cell>
          <cell r="C208" t="str">
            <v> PP BRT RP GRUP NON BA TAKAFUL FUND AKUN K</v>
          </cell>
          <cell r="D208">
            <v>-763327387.47000003</v>
          </cell>
          <cell r="E208">
            <v>981350</v>
          </cell>
          <cell r="F208">
            <v>145060653</v>
          </cell>
          <cell r="G208">
            <v>-907406690.47000003</v>
          </cell>
          <cell r="H208">
            <v>-144079303</v>
          </cell>
        </row>
        <row r="209">
          <cell r="A209">
            <v>4010303</v>
          </cell>
          <cell r="B209">
            <v>4010303</v>
          </cell>
          <cell r="C209" t="str">
            <v> PP BRT RP GRUP NON BA TAKAFUL FUND LOADING</v>
          </cell>
          <cell r="D209">
            <v>-1986730687.55</v>
          </cell>
          <cell r="E209">
            <v>0</v>
          </cell>
          <cell r="F209">
            <v>99275047.950000003</v>
          </cell>
          <cell r="G209">
            <v>-2086005735.5</v>
          </cell>
          <cell r="H209">
            <v>-99275047.950000003</v>
          </cell>
        </row>
        <row r="210">
          <cell r="A210">
            <v>4010401</v>
          </cell>
          <cell r="B210">
            <v>4010401</v>
          </cell>
          <cell r="C210" t="str">
            <v> PP BRT RP HEALTH TAKAFUL FUND AKUN KHAS PS</v>
          </cell>
          <cell r="D210">
            <v>-2653301076.5799999</v>
          </cell>
          <cell r="E210">
            <v>25979411</v>
          </cell>
          <cell r="F210">
            <v>1419042491.3</v>
          </cell>
          <cell r="G210">
            <v>-4046364156.8800001</v>
          </cell>
          <cell r="H210">
            <v>-1393063080.3</v>
          </cell>
        </row>
        <row r="211">
          <cell r="A211">
            <v>4010402</v>
          </cell>
          <cell r="B211">
            <v>4010402</v>
          </cell>
          <cell r="C211" t="str">
            <v> PP BRT RP HEALTH TAKAFUL FUND AKUN PST LO</v>
          </cell>
          <cell r="D211">
            <v>-6687013033.3100004</v>
          </cell>
          <cell r="E211">
            <v>0</v>
          </cell>
          <cell r="F211">
            <v>878457525.20000005</v>
          </cell>
          <cell r="G211">
            <v>-7565470558.5100002</v>
          </cell>
          <cell r="H211">
            <v>-878457525.20000005</v>
          </cell>
        </row>
        <row r="212">
          <cell r="A212">
            <v>4015103</v>
          </cell>
          <cell r="B212">
            <v>4015103</v>
          </cell>
          <cell r="C212" t="str">
            <v xml:space="preserve"> PP BRT USD FAMILY TAKAFUL FUND AKUN PST </v>
          </cell>
          <cell r="D212">
            <v>-5431602.2199999997</v>
          </cell>
          <cell r="E212">
            <v>0</v>
          </cell>
          <cell r="F212">
            <v>577499.5</v>
          </cell>
          <cell r="G212">
            <v>-6009101.7199999997</v>
          </cell>
          <cell r="H212">
            <v>-577499.5</v>
          </cell>
        </row>
        <row r="213">
          <cell r="A213">
            <v>4020101</v>
          </cell>
          <cell r="B213">
            <v>4020101</v>
          </cell>
          <cell r="C213" t="str">
            <v> PL BRT RUPIAH FAMILY TAKAFUL FUND AKUN PS</v>
          </cell>
          <cell r="D213">
            <v>-23128378648.950001</v>
          </cell>
          <cell r="E213">
            <v>20518730.239999998</v>
          </cell>
          <cell r="F213">
            <v>4817175893.29</v>
          </cell>
          <cell r="G213">
            <v>-27925035812</v>
          </cell>
          <cell r="H213">
            <v>-4796657163.0500002</v>
          </cell>
        </row>
        <row r="214">
          <cell r="A214">
            <v>4020102</v>
          </cell>
          <cell r="B214">
            <v>4020102</v>
          </cell>
          <cell r="C214" t="str">
            <v> PL BRT RUPIAH FAMILY TAKAFUL FUND AKUN KH</v>
          </cell>
          <cell r="D214">
            <v>-4354134751.4899998</v>
          </cell>
          <cell r="E214">
            <v>7000</v>
          </cell>
          <cell r="F214">
            <v>612009188.75999999</v>
          </cell>
          <cell r="G214">
            <v>-4966136940.25</v>
          </cell>
          <cell r="H214">
            <v>-612002188.75999999</v>
          </cell>
        </row>
        <row r="215">
          <cell r="A215">
            <v>4020103</v>
          </cell>
          <cell r="B215">
            <v>4020103</v>
          </cell>
          <cell r="C215" t="str">
            <v> PL BRT RP FAMILY TAKAFUL FUND AKUN PST LO</v>
          </cell>
          <cell r="D215">
            <v>442500</v>
          </cell>
          <cell r="E215">
            <v>40000</v>
          </cell>
          <cell r="F215">
            <v>0</v>
          </cell>
          <cell r="G215">
            <v>482500</v>
          </cell>
          <cell r="H215">
            <v>40000</v>
          </cell>
        </row>
        <row r="216">
          <cell r="A216">
            <v>4020201</v>
          </cell>
          <cell r="B216">
            <v>4020201</v>
          </cell>
          <cell r="C216" t="str">
            <v xml:space="preserve"> PL BRT RUPIAH GRUP BA TAKAFUL FUND AKUN </v>
          </cell>
          <cell r="D216">
            <v>2223486054.6599998</v>
          </cell>
          <cell r="E216">
            <v>270266.84999999998</v>
          </cell>
          <cell r="F216">
            <v>0</v>
          </cell>
          <cell r="G216">
            <v>2223756321.5100002</v>
          </cell>
          <cell r="H216">
            <v>270266.84999999998</v>
          </cell>
        </row>
        <row r="217">
          <cell r="A217">
            <v>4020202</v>
          </cell>
          <cell r="B217">
            <v>4020202</v>
          </cell>
          <cell r="C217" t="str">
            <v> PL BRT RUPIAH GRUP BA TAKAFUL FUND LOADIN</v>
          </cell>
          <cell r="D217">
            <v>0</v>
          </cell>
          <cell r="E217">
            <v>115828.65</v>
          </cell>
          <cell r="F217">
            <v>0</v>
          </cell>
          <cell r="G217">
            <v>115828.65</v>
          </cell>
          <cell r="H217">
            <v>115828.65</v>
          </cell>
        </row>
        <row r="218">
          <cell r="A218">
            <v>4020301</v>
          </cell>
          <cell r="B218">
            <v>4020301</v>
          </cell>
          <cell r="C218" t="str">
            <v> PL BRT RUPIAH GRUP NON BA TAKAFUL FUND A</v>
          </cell>
          <cell r="D218">
            <v>-750000</v>
          </cell>
          <cell r="E218">
            <v>0</v>
          </cell>
          <cell r="F218">
            <v>0</v>
          </cell>
          <cell r="G218">
            <v>-750000</v>
          </cell>
          <cell r="H218">
            <v>0</v>
          </cell>
        </row>
        <row r="219">
          <cell r="A219">
            <v>4020302</v>
          </cell>
          <cell r="B219">
            <v>4020302</v>
          </cell>
          <cell r="C219" t="str">
            <v> PL BRT RUPIAH GRUP NON BA TKF AKUN KHAS P</v>
          </cell>
          <cell r="D219">
            <v>-1670988010.9200001</v>
          </cell>
          <cell r="E219">
            <v>0</v>
          </cell>
          <cell r="F219">
            <v>89847813.609999999</v>
          </cell>
          <cell r="G219">
            <v>-1760835824.53</v>
          </cell>
          <cell r="H219">
            <v>-89847813.609999999</v>
          </cell>
        </row>
        <row r="220">
          <cell r="A220">
            <v>4020401</v>
          </cell>
          <cell r="B220">
            <v>4020401</v>
          </cell>
          <cell r="C220" t="str">
            <v> PL BRT RUPIAH HEALTH TAKAFUL FUND AKUN KH</v>
          </cell>
          <cell r="D220">
            <v>-17349721333.470001</v>
          </cell>
          <cell r="E220">
            <v>0</v>
          </cell>
          <cell r="F220">
            <v>840720666</v>
          </cell>
          <cell r="G220">
            <v>-18190441999.470001</v>
          </cell>
          <cell r="H220">
            <v>-840720666</v>
          </cell>
        </row>
        <row r="221">
          <cell r="A221">
            <v>4025101</v>
          </cell>
          <cell r="B221">
            <v>4025101</v>
          </cell>
          <cell r="C221" t="str">
            <v xml:space="preserve"> PL BRT USD FAMILY TAKAFUL FUND AKUN PST </v>
          </cell>
          <cell r="D221">
            <v>-541535379.91999996</v>
          </cell>
          <cell r="E221">
            <v>0</v>
          </cell>
          <cell r="F221">
            <v>79529753.200000003</v>
          </cell>
          <cell r="G221">
            <v>-621065133.12</v>
          </cell>
          <cell r="H221">
            <v>-79529753.200000003</v>
          </cell>
        </row>
        <row r="222">
          <cell r="A222">
            <v>4025102</v>
          </cell>
          <cell r="B222">
            <v>4025102</v>
          </cell>
          <cell r="C222" t="str">
            <v xml:space="preserve"> PL BRT USD FAMILY TAKAFUL FUND AKUN KHAS </v>
          </cell>
          <cell r="D222">
            <v>-70273136.5</v>
          </cell>
          <cell r="E222">
            <v>0</v>
          </cell>
          <cell r="F222">
            <v>10007473.74</v>
          </cell>
          <cell r="G222">
            <v>-80280610.239999995</v>
          </cell>
          <cell r="H222">
            <v>-10007473.74</v>
          </cell>
        </row>
        <row r="223">
          <cell r="A223">
            <v>4025201</v>
          </cell>
          <cell r="B223">
            <v>4025201</v>
          </cell>
          <cell r="C223" t="str">
            <v xml:space="preserve"> PL BRT USD GRUP BA TKF AKUN KHAS PST </v>
          </cell>
          <cell r="D223">
            <v>2157831</v>
          </cell>
          <cell r="E223">
            <v>0</v>
          </cell>
          <cell r="F223">
            <v>0</v>
          </cell>
          <cell r="G223">
            <v>2157831</v>
          </cell>
          <cell r="H223">
            <v>0</v>
          </cell>
        </row>
        <row r="224">
          <cell r="A224">
            <v>4025502</v>
          </cell>
          <cell r="B224">
            <v>4025502</v>
          </cell>
          <cell r="C224" t="str">
            <v xml:space="preserve"> PRODUKSI UNIT LINK </v>
          </cell>
          <cell r="D224">
            <v>-17431165694.91</v>
          </cell>
          <cell r="E224">
            <v>0</v>
          </cell>
          <cell r="F224">
            <v>0</v>
          </cell>
          <cell r="G224">
            <v>-17431165694.91</v>
          </cell>
          <cell r="H224">
            <v>0</v>
          </cell>
        </row>
        <row r="225">
          <cell r="A225">
            <v>4025503</v>
          </cell>
          <cell r="B225">
            <v>4025503</v>
          </cell>
          <cell r="C225" t="str">
            <v xml:space="preserve"> PRODUKSI UNIT LINK TOP UP </v>
          </cell>
          <cell r="D225">
            <v>-713925000</v>
          </cell>
          <cell r="E225">
            <v>0</v>
          </cell>
          <cell r="F225">
            <v>0</v>
          </cell>
          <cell r="G225">
            <v>-713925000</v>
          </cell>
          <cell r="H225">
            <v>0</v>
          </cell>
        </row>
        <row r="226">
          <cell r="A226">
            <v>4025601</v>
          </cell>
          <cell r="B226">
            <v>4025601</v>
          </cell>
          <cell r="C226" t="str">
            <v xml:space="preserve"> PREMI KOASURANSI - BANCAS </v>
          </cell>
          <cell r="D226">
            <v>199298539.03999999</v>
          </cell>
          <cell r="E226">
            <v>0</v>
          </cell>
          <cell r="F226">
            <v>3726472.41</v>
          </cell>
          <cell r="G226">
            <v>195572066.63</v>
          </cell>
          <cell r="H226">
            <v>-3726472.41</v>
          </cell>
        </row>
        <row r="227">
          <cell r="A227">
            <v>4030101</v>
          </cell>
          <cell r="B227">
            <v>4030101</v>
          </cell>
          <cell r="C227" t="str">
            <v xml:space="preserve"> PREMI DALAM PROSES RP TAHUN LALU </v>
          </cell>
          <cell r="D227">
            <v>-59837678.840000004</v>
          </cell>
          <cell r="E227">
            <v>7727040</v>
          </cell>
          <cell r="F227">
            <v>0</v>
          </cell>
          <cell r="G227">
            <v>-52110638.840000004</v>
          </cell>
          <cell r="H227">
            <v>7727040</v>
          </cell>
        </row>
        <row r="228">
          <cell r="A228">
            <v>4030102</v>
          </cell>
          <cell r="B228">
            <v>4030102</v>
          </cell>
          <cell r="C228" t="str">
            <v xml:space="preserve"> PREMI DALAM PROSES RP TAHUN BERJALAN </v>
          </cell>
          <cell r="D228">
            <v>34351964.770000003</v>
          </cell>
          <cell r="E228">
            <v>200000</v>
          </cell>
          <cell r="F228">
            <v>0</v>
          </cell>
          <cell r="G228">
            <v>34551964.770000003</v>
          </cell>
          <cell r="H228">
            <v>200000</v>
          </cell>
        </row>
        <row r="229">
          <cell r="A229">
            <v>4040101</v>
          </cell>
          <cell r="B229">
            <v>4040101</v>
          </cell>
          <cell r="C229" t="str">
            <v xml:space="preserve"> POTONGAN PREMI GRUP BANCAS TKF AKUN KHAS </v>
          </cell>
          <cell r="D229">
            <v>-1102368861.78</v>
          </cell>
          <cell r="E229">
            <v>25802646.719999999</v>
          </cell>
          <cell r="F229">
            <v>293505424.83999997</v>
          </cell>
          <cell r="G229">
            <v>-1370071639.9000001</v>
          </cell>
          <cell r="H229">
            <v>-267702778.11999997</v>
          </cell>
        </row>
        <row r="230">
          <cell r="A230">
            <v>4040201</v>
          </cell>
          <cell r="B230">
            <v>4040201</v>
          </cell>
          <cell r="C230" t="str">
            <v> POTONGAN PREMI GRUP NON BANCAS TKF AKUN K</v>
          </cell>
          <cell r="D230">
            <v>-118271988.2</v>
          </cell>
          <cell r="E230">
            <v>2930070</v>
          </cell>
          <cell r="F230">
            <v>21547950</v>
          </cell>
          <cell r="G230">
            <v>-136889868.19999999</v>
          </cell>
          <cell r="H230">
            <v>-18617880</v>
          </cell>
        </row>
        <row r="231">
          <cell r="A231">
            <v>4040301</v>
          </cell>
          <cell r="B231">
            <v>4040301</v>
          </cell>
          <cell r="C231" t="str">
            <v xml:space="preserve"> POTONGAN PREMI HEALTH TKF AKUN KHAS PST </v>
          </cell>
          <cell r="D231">
            <v>-18521127.27</v>
          </cell>
          <cell r="E231">
            <v>0</v>
          </cell>
          <cell r="F231">
            <v>5058721.1500000004</v>
          </cell>
          <cell r="G231">
            <v>-23579848.420000002</v>
          </cell>
          <cell r="H231">
            <v>-5058721.1500000004</v>
          </cell>
        </row>
        <row r="232">
          <cell r="A232">
            <v>4040501</v>
          </cell>
          <cell r="B232">
            <v>4040501</v>
          </cell>
          <cell r="C232" t="str">
            <v xml:space="preserve"> POTONGAN PREMI BANCAS </v>
          </cell>
          <cell r="D232">
            <v>1574593680.1199999</v>
          </cell>
          <cell r="E232">
            <v>207644813.06999999</v>
          </cell>
          <cell r="F232">
            <v>395000</v>
          </cell>
          <cell r="G232">
            <v>1781843493.1900001</v>
          </cell>
          <cell r="H232">
            <v>207249813.06999999</v>
          </cell>
        </row>
        <row r="233">
          <cell r="A233">
            <v>4040502</v>
          </cell>
          <cell r="B233">
            <v>4040502</v>
          </cell>
          <cell r="C233" t="str">
            <v xml:space="preserve"> POTONGAN PREMI NON BANCAS </v>
          </cell>
          <cell r="D233">
            <v>39643951</v>
          </cell>
          <cell r="E233">
            <v>7771063</v>
          </cell>
          <cell r="F233">
            <v>0</v>
          </cell>
          <cell r="G233">
            <v>47415014</v>
          </cell>
          <cell r="H233">
            <v>7771063</v>
          </cell>
        </row>
        <row r="234">
          <cell r="A234">
            <v>4040503</v>
          </cell>
          <cell r="B234">
            <v>4040503</v>
          </cell>
          <cell r="C234" t="str">
            <v xml:space="preserve"> POTONGAN PREMI KESEHATAN </v>
          </cell>
          <cell r="D234">
            <v>188643869</v>
          </cell>
          <cell r="E234">
            <v>5178721.1500000004</v>
          </cell>
          <cell r="F234">
            <v>0</v>
          </cell>
          <cell r="G234">
            <v>193822590.15000001</v>
          </cell>
          <cell r="H234">
            <v>5178721.1500000004</v>
          </cell>
        </row>
        <row r="235">
          <cell r="A235">
            <v>4050101</v>
          </cell>
          <cell r="B235">
            <v>4050101</v>
          </cell>
          <cell r="C235" t="str">
            <v> PREMI REASURANSI RUPIAH FAMILY TAKAFUL FUN</v>
          </cell>
          <cell r="D235">
            <v>21465496781</v>
          </cell>
          <cell r="E235">
            <v>2759771271.0300002</v>
          </cell>
          <cell r="F235">
            <v>0</v>
          </cell>
          <cell r="G235">
            <v>24225268052.029999</v>
          </cell>
          <cell r="H235">
            <v>2759771271.0300002</v>
          </cell>
        </row>
        <row r="236">
          <cell r="A236">
            <v>4050102</v>
          </cell>
          <cell r="B236">
            <v>4050102</v>
          </cell>
          <cell r="C236" t="str">
            <v> PREMI REASURANSI RP GRP BANK ASR TAKAFUL F</v>
          </cell>
          <cell r="D236">
            <v>126959136.5</v>
          </cell>
          <cell r="E236">
            <v>0</v>
          </cell>
          <cell r="F236">
            <v>0</v>
          </cell>
          <cell r="G236">
            <v>126959136.5</v>
          </cell>
          <cell r="H236">
            <v>0</v>
          </cell>
        </row>
        <row r="237">
          <cell r="A237">
            <v>4050205</v>
          </cell>
          <cell r="B237">
            <v>4050205</v>
          </cell>
          <cell r="C237" t="str">
            <v xml:space="preserve"> PRODUKSI UNIT LINK (PENGURANG) </v>
          </cell>
          <cell r="D237">
            <v>17262730237.099998</v>
          </cell>
          <cell r="E237">
            <v>0</v>
          </cell>
          <cell r="F237">
            <v>0</v>
          </cell>
          <cell r="G237">
            <v>17262730237.099998</v>
          </cell>
          <cell r="H237">
            <v>0</v>
          </cell>
        </row>
        <row r="238">
          <cell r="A238">
            <v>4100101</v>
          </cell>
          <cell r="B238">
            <v>4100101</v>
          </cell>
          <cell r="C238" t="str">
            <v> HASIL INVESTASI DEPOSITO FAMILY TAKAFUL FU</v>
          </cell>
          <cell r="D238">
            <v>-3434690301.3299999</v>
          </cell>
          <cell r="E238">
            <v>42458138.82</v>
          </cell>
          <cell r="F238">
            <v>550658587.86000001</v>
          </cell>
          <cell r="G238">
            <v>-3942890750.3699999</v>
          </cell>
          <cell r="H238">
            <v>-508200449.04000002</v>
          </cell>
        </row>
        <row r="239">
          <cell r="A239">
            <v>4100102</v>
          </cell>
          <cell r="B239">
            <v>4100102</v>
          </cell>
          <cell r="C239" t="str">
            <v> HASIL INVESTASI DEPOSITO GRUP BANK ASR TAK</v>
          </cell>
          <cell r="D239">
            <v>110659</v>
          </cell>
          <cell r="E239">
            <v>0</v>
          </cell>
          <cell r="F239">
            <v>0</v>
          </cell>
          <cell r="G239">
            <v>110659</v>
          </cell>
          <cell r="H239">
            <v>0</v>
          </cell>
        </row>
        <row r="240">
          <cell r="A240">
            <v>4100105</v>
          </cell>
          <cell r="B240">
            <v>4100105</v>
          </cell>
          <cell r="C240" t="str">
            <v xml:space="preserve"> HASIL INVESTASI DEPOSITO DPS </v>
          </cell>
          <cell r="D240">
            <v>-11040.32</v>
          </cell>
          <cell r="E240">
            <v>0</v>
          </cell>
          <cell r="F240">
            <v>0</v>
          </cell>
          <cell r="G240">
            <v>-11040.32</v>
          </cell>
          <cell r="H240">
            <v>0</v>
          </cell>
        </row>
        <row r="241">
          <cell r="A241">
            <v>4100301</v>
          </cell>
          <cell r="B241">
            <v>4100301</v>
          </cell>
          <cell r="C241" t="str">
            <v xml:space="preserve"> HASIL INVESTASI SAHAM FAMILY TAKAFUL FUND </v>
          </cell>
          <cell r="D241">
            <v>-1470533361.78</v>
          </cell>
          <cell r="E241">
            <v>0</v>
          </cell>
          <cell r="F241">
            <v>0</v>
          </cell>
          <cell r="G241">
            <v>-1470533361.78</v>
          </cell>
          <cell r="H241">
            <v>0</v>
          </cell>
        </row>
        <row r="242">
          <cell r="A242">
            <v>4100401</v>
          </cell>
          <cell r="B242">
            <v>4100401</v>
          </cell>
          <cell r="C242" t="str">
            <v> HASIL INVESTASI OBLIGASI FAMILY TAKAFUL FU</v>
          </cell>
          <cell r="D242">
            <v>-1727179839.4000001</v>
          </cell>
          <cell r="E242">
            <v>0</v>
          </cell>
          <cell r="F242">
            <v>261237809</v>
          </cell>
          <cell r="G242">
            <v>-1988417648.4000001</v>
          </cell>
          <cell r="H242">
            <v>-261237809</v>
          </cell>
        </row>
        <row r="243">
          <cell r="A243">
            <v>4100601</v>
          </cell>
          <cell r="B243">
            <v>4100601</v>
          </cell>
          <cell r="C243" t="str">
            <v> HASIL INVESTASI REKSADANA FAMILY TAKAFUL F</v>
          </cell>
          <cell r="D243">
            <v>-3250227643.1999998</v>
          </cell>
          <cell r="E243">
            <v>373995170.06999999</v>
          </cell>
          <cell r="F243">
            <v>4528900331.8699999</v>
          </cell>
          <cell r="G243">
            <v>-7405132805</v>
          </cell>
          <cell r="H243">
            <v>-4154905161.7999997</v>
          </cell>
        </row>
        <row r="244">
          <cell r="A244">
            <v>4100801</v>
          </cell>
          <cell r="B244">
            <v>4100801</v>
          </cell>
          <cell r="C244" t="str">
            <v> HASIL INVESTASI TNH DAN BGN FAMILY TAKAFUL</v>
          </cell>
          <cell r="D244">
            <v>-119925000</v>
          </cell>
          <cell r="E244">
            <v>0</v>
          </cell>
          <cell r="F244">
            <v>0</v>
          </cell>
          <cell r="G244">
            <v>-119925000</v>
          </cell>
          <cell r="H244">
            <v>0</v>
          </cell>
        </row>
        <row r="245">
          <cell r="A245">
            <v>4100805</v>
          </cell>
          <cell r="B245">
            <v>4100805</v>
          </cell>
          <cell r="C245" t="str">
            <v> HASIL INVESTASI INVESTASI TANAH DAN BANGUN</v>
          </cell>
          <cell r="D245">
            <v>-812192760</v>
          </cell>
          <cell r="E245">
            <v>0</v>
          </cell>
          <cell r="F245">
            <v>0</v>
          </cell>
          <cell r="G245">
            <v>-812192760</v>
          </cell>
          <cell r="H245">
            <v>0</v>
          </cell>
        </row>
        <row r="246">
          <cell r="A246">
            <v>4100901</v>
          </cell>
          <cell r="B246">
            <v>4100901</v>
          </cell>
          <cell r="C246" t="str">
            <v> HASIL INVESTASI HIPOTIK FAMILY TAKAFUL FUN</v>
          </cell>
          <cell r="D246">
            <v>-478170184</v>
          </cell>
          <cell r="E246">
            <v>0</v>
          </cell>
          <cell r="F246">
            <v>0</v>
          </cell>
          <cell r="G246">
            <v>-478170184</v>
          </cell>
          <cell r="H246">
            <v>0</v>
          </cell>
        </row>
        <row r="247">
          <cell r="A247">
            <v>4101001</v>
          </cell>
          <cell r="B247">
            <v>4101001</v>
          </cell>
          <cell r="C247" t="str">
            <v> HASIL INVESTASI PINJAMAN POLIS FAMILY TAKA</v>
          </cell>
          <cell r="D247">
            <v>-146931</v>
          </cell>
          <cell r="E247">
            <v>0</v>
          </cell>
          <cell r="F247">
            <v>0</v>
          </cell>
          <cell r="G247">
            <v>-146931</v>
          </cell>
          <cell r="H247">
            <v>0</v>
          </cell>
        </row>
        <row r="248">
          <cell r="A248">
            <v>4105101</v>
          </cell>
          <cell r="B248">
            <v>4105101</v>
          </cell>
          <cell r="C248" t="str">
            <v> HASIL INVESTASI DEPOSITO FAMILY TAKAFUL FU</v>
          </cell>
          <cell r="D248">
            <v>-20488241.98</v>
          </cell>
          <cell r="E248">
            <v>0</v>
          </cell>
          <cell r="F248">
            <v>44273661.740000002</v>
          </cell>
          <cell r="G248">
            <v>-64761903.719999999</v>
          </cell>
          <cell r="H248">
            <v>-44273661.740000002</v>
          </cell>
        </row>
        <row r="249">
          <cell r="A249">
            <v>4200101</v>
          </cell>
          <cell r="B249">
            <v>4200101</v>
          </cell>
          <cell r="C249" t="str">
            <v xml:space="preserve"> HASIL INVESTASI SELISIH KURS INVESTASI </v>
          </cell>
          <cell r="D249">
            <v>304535000</v>
          </cell>
          <cell r="E249">
            <v>0</v>
          </cell>
          <cell r="F249">
            <v>0</v>
          </cell>
          <cell r="G249">
            <v>304535000</v>
          </cell>
          <cell r="H249">
            <v>0</v>
          </cell>
        </row>
        <row r="250">
          <cell r="A250">
            <v>4200103</v>
          </cell>
          <cell r="B250">
            <v>4200103</v>
          </cell>
          <cell r="C250" t="str">
            <v xml:space="preserve"> PENDAPATAN KOMISI UNIT LINK </v>
          </cell>
          <cell r="D250">
            <v>-3434928</v>
          </cell>
          <cell r="E250">
            <v>0</v>
          </cell>
          <cell r="F250">
            <v>0</v>
          </cell>
          <cell r="G250">
            <v>-3434928</v>
          </cell>
          <cell r="H250">
            <v>0</v>
          </cell>
        </row>
        <row r="251">
          <cell r="A251">
            <v>4200201</v>
          </cell>
          <cell r="B251">
            <v>4200201</v>
          </cell>
          <cell r="C251" t="str">
            <v xml:space="preserve"> HI-UNRE GAINS (LOSS) ON MARK SECURITIES </v>
          </cell>
          <cell r="D251">
            <v>-670700097.40999997</v>
          </cell>
          <cell r="E251">
            <v>0</v>
          </cell>
          <cell r="F251">
            <v>0</v>
          </cell>
          <cell r="G251">
            <v>-670700097.40999997</v>
          </cell>
          <cell r="H251">
            <v>0</v>
          </cell>
        </row>
        <row r="252">
          <cell r="A252">
            <v>4900101</v>
          </cell>
          <cell r="B252">
            <v>4900101</v>
          </cell>
          <cell r="C252" t="str">
            <v xml:space="preserve"> PENDAPATAN METERAI </v>
          </cell>
          <cell r="D252">
            <v>-13473000</v>
          </cell>
          <cell r="E252">
            <v>0</v>
          </cell>
          <cell r="F252">
            <v>1050000</v>
          </cell>
          <cell r="G252">
            <v>-14523000</v>
          </cell>
          <cell r="H252">
            <v>-1050000</v>
          </cell>
        </row>
        <row r="253">
          <cell r="A253">
            <v>4900102</v>
          </cell>
          <cell r="B253">
            <v>4900102</v>
          </cell>
          <cell r="C253" t="str">
            <v xml:space="preserve"> PENDAPATAN ADMINISTRASI POLIS </v>
          </cell>
          <cell r="D253">
            <v>-347574170.64999998</v>
          </cell>
          <cell r="E253">
            <v>100000</v>
          </cell>
          <cell r="F253">
            <v>37558364.829999998</v>
          </cell>
          <cell r="G253">
            <v>-385032535.48000002</v>
          </cell>
          <cell r="H253">
            <v>-37458364.829999998</v>
          </cell>
        </row>
        <row r="254">
          <cell r="A254">
            <v>4900103</v>
          </cell>
          <cell r="B254">
            <v>4900103</v>
          </cell>
          <cell r="C254" t="str">
            <v xml:space="preserve"> PENDAPATAN ADM - KARTU </v>
          </cell>
          <cell r="D254">
            <v>-91028000</v>
          </cell>
          <cell r="E254">
            <v>0</v>
          </cell>
          <cell r="F254">
            <v>60000</v>
          </cell>
          <cell r="G254">
            <v>-91088000</v>
          </cell>
          <cell r="H254">
            <v>-60000</v>
          </cell>
        </row>
        <row r="255">
          <cell r="A255">
            <v>4909101</v>
          </cell>
          <cell r="B255">
            <v>4909101</v>
          </cell>
          <cell r="C255" t="str">
            <v xml:space="preserve"> PENDAPATAN LAIN-LAIN </v>
          </cell>
          <cell r="D255">
            <v>-1974549.19</v>
          </cell>
          <cell r="E255">
            <v>0</v>
          </cell>
          <cell r="F255">
            <v>1016274.07</v>
          </cell>
          <cell r="G255">
            <v>-2990823.26</v>
          </cell>
          <cell r="H255">
            <v>-1016274.07</v>
          </cell>
        </row>
        <row r="256">
          <cell r="A256">
            <v>5010101</v>
          </cell>
          <cell r="B256">
            <v>5010101</v>
          </cell>
          <cell r="C256" t="str">
            <v xml:space="preserve"> KLAIM MD FAMILY TAKAFUL FUND AKUN PST </v>
          </cell>
          <cell r="D256">
            <v>69938128.379999995</v>
          </cell>
          <cell r="E256">
            <v>16034150</v>
          </cell>
          <cell r="F256">
            <v>0</v>
          </cell>
          <cell r="G256">
            <v>85972278.379999995</v>
          </cell>
          <cell r="H256">
            <v>16034150</v>
          </cell>
        </row>
        <row r="257">
          <cell r="A257">
            <v>5010102</v>
          </cell>
          <cell r="B257">
            <v>5010102</v>
          </cell>
          <cell r="C257" t="str">
            <v> KLAIM MD FAMILY TAKAFUL FUND AKUN KHAS PS</v>
          </cell>
          <cell r="D257">
            <v>272710000</v>
          </cell>
          <cell r="E257">
            <v>49400000</v>
          </cell>
          <cell r="F257">
            <v>0</v>
          </cell>
          <cell r="G257">
            <v>322110000</v>
          </cell>
          <cell r="H257">
            <v>49400000</v>
          </cell>
        </row>
        <row r="258">
          <cell r="A258">
            <v>5010103</v>
          </cell>
          <cell r="B258">
            <v>5010103</v>
          </cell>
          <cell r="C258" t="str">
            <v> KLAIM MD FAMILY TAKAFUL FUND AKUN PST BA</v>
          </cell>
          <cell r="D258">
            <v>31865272.539999999</v>
          </cell>
          <cell r="E258">
            <v>1135912.54</v>
          </cell>
          <cell r="F258">
            <v>0</v>
          </cell>
          <cell r="G258">
            <v>33001185.079999998</v>
          </cell>
          <cell r="H258">
            <v>1135912.54</v>
          </cell>
        </row>
        <row r="259">
          <cell r="A259">
            <v>5010201</v>
          </cell>
          <cell r="B259">
            <v>5010201</v>
          </cell>
          <cell r="C259" t="str">
            <v xml:space="preserve"> KLAIM MD GRP TKF AKUN KHAS PST </v>
          </cell>
          <cell r="D259">
            <v>6412623380.6400003</v>
          </cell>
          <cell r="E259">
            <v>1201918923.1400001</v>
          </cell>
          <cell r="F259">
            <v>0</v>
          </cell>
          <cell r="G259">
            <v>7614542303.7799997</v>
          </cell>
          <cell r="H259">
            <v>1201918923.1400001</v>
          </cell>
        </row>
        <row r="260">
          <cell r="A260">
            <v>5010301</v>
          </cell>
          <cell r="B260">
            <v>5010301</v>
          </cell>
          <cell r="C260" t="str">
            <v xml:space="preserve"> KLAIM MD GRP TKF AKUN PST </v>
          </cell>
          <cell r="D260">
            <v>24613908.469999999</v>
          </cell>
          <cell r="E260">
            <v>5738717.2699999996</v>
          </cell>
          <cell r="F260">
            <v>0</v>
          </cell>
          <cell r="G260">
            <v>30352625.739999998</v>
          </cell>
          <cell r="H260">
            <v>5738717.2699999996</v>
          </cell>
        </row>
        <row r="261">
          <cell r="A261">
            <v>5010302</v>
          </cell>
          <cell r="B261">
            <v>5010302</v>
          </cell>
          <cell r="C261" t="str">
            <v xml:space="preserve"> KLAIM MD GRP TKF AKUN KHAS PST </v>
          </cell>
          <cell r="D261">
            <v>727097558</v>
          </cell>
          <cell r="E261">
            <v>69005200</v>
          </cell>
          <cell r="F261">
            <v>0</v>
          </cell>
          <cell r="G261">
            <v>796102758</v>
          </cell>
          <cell r="H261">
            <v>69005200</v>
          </cell>
        </row>
        <row r="262">
          <cell r="A262">
            <v>5010303</v>
          </cell>
          <cell r="B262">
            <v>5010303</v>
          </cell>
          <cell r="C262" t="str">
            <v xml:space="preserve"> KLAIM MD GRP TKF AKUN PST BGHS </v>
          </cell>
          <cell r="D262">
            <v>1885458.75</v>
          </cell>
          <cell r="E262">
            <v>899413.53</v>
          </cell>
          <cell r="F262">
            <v>0</v>
          </cell>
          <cell r="G262">
            <v>2784872.28</v>
          </cell>
          <cell r="H262">
            <v>899413.53</v>
          </cell>
        </row>
        <row r="263">
          <cell r="A263">
            <v>5010501</v>
          </cell>
          <cell r="B263">
            <v>5010501</v>
          </cell>
          <cell r="C263" t="str">
            <v xml:space="preserve"> KLAIM JT FAMILY TAKAFUL FUND AKUN PST </v>
          </cell>
          <cell r="D263">
            <v>11544762663.9</v>
          </cell>
          <cell r="E263">
            <v>1030799942.78</v>
          </cell>
          <cell r="F263">
            <v>0</v>
          </cell>
          <cell r="G263">
            <v>12575562606.68</v>
          </cell>
          <cell r="H263">
            <v>1030799942.78</v>
          </cell>
        </row>
        <row r="264">
          <cell r="A264">
            <v>5010502</v>
          </cell>
          <cell r="B264">
            <v>5010502</v>
          </cell>
          <cell r="C264" t="str">
            <v> KLAIM JT FAMILY TAKAFUL FUND AKUN KHAS PS</v>
          </cell>
          <cell r="D264">
            <v>73889285.760000005</v>
          </cell>
          <cell r="E264">
            <v>3618812.93</v>
          </cell>
          <cell r="F264">
            <v>0</v>
          </cell>
          <cell r="G264">
            <v>77508098.689999998</v>
          </cell>
          <cell r="H264">
            <v>3618812.93</v>
          </cell>
        </row>
        <row r="265">
          <cell r="A265">
            <v>5010503</v>
          </cell>
          <cell r="B265">
            <v>5010503</v>
          </cell>
          <cell r="C265" t="str">
            <v> KLAIM JT FAMILY TAKAFUL FUND AKUN PST BA</v>
          </cell>
          <cell r="D265">
            <v>644843336.44000006</v>
          </cell>
          <cell r="E265">
            <v>111432045.18000001</v>
          </cell>
          <cell r="F265">
            <v>0</v>
          </cell>
          <cell r="G265">
            <v>756275381.62</v>
          </cell>
          <cell r="H265">
            <v>111432045.18000001</v>
          </cell>
        </row>
        <row r="266">
          <cell r="A266">
            <v>5010601</v>
          </cell>
          <cell r="B266">
            <v>5010601</v>
          </cell>
          <cell r="C266" t="str">
            <v xml:space="preserve"> KLAIM JT GRP TKF AKUN KHAS PST </v>
          </cell>
          <cell r="D266">
            <v>18603881</v>
          </cell>
          <cell r="E266">
            <v>0</v>
          </cell>
          <cell r="F266">
            <v>0</v>
          </cell>
          <cell r="G266">
            <v>18603881</v>
          </cell>
          <cell r="H266">
            <v>0</v>
          </cell>
        </row>
        <row r="267">
          <cell r="A267">
            <v>5010701</v>
          </cell>
          <cell r="B267">
            <v>5010701</v>
          </cell>
          <cell r="C267" t="str">
            <v xml:space="preserve"> KLAIM JT GRP TKF AKUN PST </v>
          </cell>
          <cell r="D267">
            <v>4748477660.5100002</v>
          </cell>
          <cell r="E267">
            <v>177440535.99000001</v>
          </cell>
          <cell r="F267">
            <v>0</v>
          </cell>
          <cell r="G267">
            <v>4925918196.5</v>
          </cell>
          <cell r="H267">
            <v>177440535.99000001</v>
          </cell>
        </row>
        <row r="268">
          <cell r="A268">
            <v>5010702</v>
          </cell>
          <cell r="B268">
            <v>5010702</v>
          </cell>
          <cell r="C268" t="str">
            <v xml:space="preserve"> KLAIM JT GRP TKF AKUN KHAS PST </v>
          </cell>
          <cell r="D268">
            <v>242733887</v>
          </cell>
          <cell r="E268">
            <v>27054303</v>
          </cell>
          <cell r="F268">
            <v>0</v>
          </cell>
          <cell r="G268">
            <v>269788190</v>
          </cell>
          <cell r="H268">
            <v>27054303</v>
          </cell>
        </row>
        <row r="269">
          <cell r="A269">
            <v>5010703</v>
          </cell>
          <cell r="B269">
            <v>5010703</v>
          </cell>
          <cell r="C269" t="str">
            <v xml:space="preserve"> KLAIM JT GRP TKF AKUN PST BGHS </v>
          </cell>
          <cell r="D269">
            <v>702901180.58000004</v>
          </cell>
          <cell r="E269">
            <v>19756862.75</v>
          </cell>
          <cell r="F269">
            <v>0</v>
          </cell>
          <cell r="G269">
            <v>722658043.33000004</v>
          </cell>
          <cell r="H269">
            <v>19756862.75</v>
          </cell>
        </row>
        <row r="270">
          <cell r="A270">
            <v>5010801</v>
          </cell>
          <cell r="B270">
            <v>5010801</v>
          </cell>
          <cell r="C270" t="str">
            <v> KLAIM JT HEALTH TAKAFUL FUND AKUN KHAS PS</v>
          </cell>
          <cell r="D270">
            <v>179341528</v>
          </cell>
          <cell r="E270">
            <v>12480978</v>
          </cell>
          <cell r="F270">
            <v>0</v>
          </cell>
          <cell r="G270">
            <v>191822506</v>
          </cell>
          <cell r="H270">
            <v>12480978</v>
          </cell>
        </row>
        <row r="271">
          <cell r="A271">
            <v>5010901</v>
          </cell>
          <cell r="B271">
            <v>5010901</v>
          </cell>
          <cell r="C271" t="str">
            <v xml:space="preserve"> KLAIM NT FAMILY TAKAFUL FUND AKUN PST </v>
          </cell>
          <cell r="D271">
            <v>14389595136.25</v>
          </cell>
          <cell r="E271">
            <v>921359464.57000005</v>
          </cell>
          <cell r="F271">
            <v>100000</v>
          </cell>
          <cell r="G271">
            <v>15310854600.82</v>
          </cell>
          <cell r="H271">
            <v>921259464.57000005</v>
          </cell>
        </row>
        <row r="272">
          <cell r="A272">
            <v>5010902</v>
          </cell>
          <cell r="B272">
            <v>5010902</v>
          </cell>
          <cell r="C272" t="str">
            <v> KLAIM NT FAMILY TAKAFUL FUND AKUN KHAS PS</v>
          </cell>
          <cell r="D272">
            <v>480000</v>
          </cell>
          <cell r="E272">
            <v>0</v>
          </cell>
          <cell r="F272">
            <v>0</v>
          </cell>
          <cell r="G272">
            <v>480000</v>
          </cell>
          <cell r="H272">
            <v>0</v>
          </cell>
        </row>
        <row r="273">
          <cell r="A273">
            <v>5010903</v>
          </cell>
          <cell r="B273">
            <v>5010903</v>
          </cell>
          <cell r="C273" t="str">
            <v> KLAIM NT FAMILY TAKAFUL FUND AKUN PST BG</v>
          </cell>
          <cell r="D273">
            <v>2093400341.4300001</v>
          </cell>
          <cell r="E273">
            <v>142528922.74000001</v>
          </cell>
          <cell r="F273">
            <v>0</v>
          </cell>
          <cell r="G273">
            <v>2235929264.1700001</v>
          </cell>
          <cell r="H273">
            <v>142528922.74000001</v>
          </cell>
        </row>
        <row r="274">
          <cell r="A274">
            <v>5011001</v>
          </cell>
          <cell r="B274">
            <v>5011001</v>
          </cell>
          <cell r="C274" t="str">
            <v xml:space="preserve"> KLAIM NT GRP TKF AKUN KHAS PST </v>
          </cell>
          <cell r="D274">
            <v>271653576.32999998</v>
          </cell>
          <cell r="E274">
            <v>27458807.100000001</v>
          </cell>
          <cell r="F274">
            <v>0</v>
          </cell>
          <cell r="G274">
            <v>299112383.43000001</v>
          </cell>
          <cell r="H274">
            <v>27458807.100000001</v>
          </cell>
        </row>
        <row r="275">
          <cell r="A275">
            <v>5011101</v>
          </cell>
          <cell r="B275">
            <v>5011101</v>
          </cell>
          <cell r="C275" t="str">
            <v xml:space="preserve"> KLAIM NT GRP TKF AKUN PST </v>
          </cell>
          <cell r="D275">
            <v>962139216.49000001</v>
          </cell>
          <cell r="E275">
            <v>64514582.5</v>
          </cell>
          <cell r="F275">
            <v>0</v>
          </cell>
          <cell r="G275">
            <v>1026653798.99</v>
          </cell>
          <cell r="H275">
            <v>64514582.5</v>
          </cell>
        </row>
        <row r="276">
          <cell r="A276">
            <v>5011102</v>
          </cell>
          <cell r="B276">
            <v>5011102</v>
          </cell>
          <cell r="C276" t="str">
            <v xml:space="preserve"> KLAIM NT GRP TKF AKUN KHAS PST </v>
          </cell>
          <cell r="D276">
            <v>1497659.5</v>
          </cell>
          <cell r="E276">
            <v>0</v>
          </cell>
          <cell r="F276">
            <v>0</v>
          </cell>
          <cell r="G276">
            <v>1497659.5</v>
          </cell>
          <cell r="H276">
            <v>0</v>
          </cell>
        </row>
        <row r="277">
          <cell r="A277">
            <v>5011103</v>
          </cell>
          <cell r="B277">
            <v>5011103</v>
          </cell>
          <cell r="C277" t="str">
            <v xml:space="preserve"> KLAIM NT GRP TKF AKUN PST BGHS </v>
          </cell>
          <cell r="D277">
            <v>197348921.33000001</v>
          </cell>
          <cell r="E277">
            <v>15975481.310000001</v>
          </cell>
          <cell r="F277">
            <v>0</v>
          </cell>
          <cell r="G277">
            <v>213324402.63999999</v>
          </cell>
          <cell r="H277">
            <v>15975481.310000001</v>
          </cell>
        </row>
        <row r="278">
          <cell r="A278">
            <v>5011201</v>
          </cell>
          <cell r="B278">
            <v>5011201</v>
          </cell>
          <cell r="C278" t="str">
            <v> KLAIM NT HEALTH TAKAFUL FUND AKUN KHAS PS</v>
          </cell>
          <cell r="D278">
            <v>50038640</v>
          </cell>
          <cell r="E278">
            <v>899500</v>
          </cell>
          <cell r="F278">
            <v>0</v>
          </cell>
          <cell r="G278">
            <v>50938140</v>
          </cell>
          <cell r="H278">
            <v>899500</v>
          </cell>
        </row>
        <row r="279">
          <cell r="A279">
            <v>5011202</v>
          </cell>
          <cell r="B279">
            <v>5011202</v>
          </cell>
          <cell r="C279" t="str">
            <v xml:space="preserve"> KLAIM NT HLTH TKF AKUN PST BGHSL </v>
          </cell>
          <cell r="D279">
            <v>47150</v>
          </cell>
          <cell r="E279">
            <v>0</v>
          </cell>
          <cell r="F279">
            <v>0</v>
          </cell>
          <cell r="G279">
            <v>47150</v>
          </cell>
          <cell r="H279">
            <v>0</v>
          </cell>
        </row>
        <row r="280">
          <cell r="A280">
            <v>5011401</v>
          </cell>
          <cell r="B280">
            <v>5011401</v>
          </cell>
          <cell r="C280" t="str">
            <v xml:space="preserve"> KLAIM KS/KC GRP TKF AKUN KHAS PST </v>
          </cell>
          <cell r="D280">
            <v>31780000</v>
          </cell>
          <cell r="E280">
            <v>0</v>
          </cell>
          <cell r="F280">
            <v>0</v>
          </cell>
          <cell r="G280">
            <v>31780000</v>
          </cell>
          <cell r="H280">
            <v>0</v>
          </cell>
        </row>
        <row r="281">
          <cell r="A281">
            <v>5011501</v>
          </cell>
          <cell r="B281">
            <v>5011501</v>
          </cell>
          <cell r="C281" t="str">
            <v xml:space="preserve"> KLAIM KS/KC GRP TKF AKUN PST </v>
          </cell>
          <cell r="D281">
            <v>1100000</v>
          </cell>
          <cell r="E281">
            <v>0</v>
          </cell>
          <cell r="F281">
            <v>0</v>
          </cell>
          <cell r="G281">
            <v>1100000</v>
          </cell>
          <cell r="H281">
            <v>0</v>
          </cell>
        </row>
        <row r="282">
          <cell r="A282">
            <v>5011502</v>
          </cell>
          <cell r="B282">
            <v>5011502</v>
          </cell>
          <cell r="C282" t="str">
            <v xml:space="preserve"> KLAIM KS/KC GRP TKF AKUN KHAS PST </v>
          </cell>
          <cell r="D282">
            <v>92960840</v>
          </cell>
          <cell r="E282">
            <v>9998580</v>
          </cell>
          <cell r="F282">
            <v>0</v>
          </cell>
          <cell r="G282">
            <v>102959420</v>
          </cell>
          <cell r="H282">
            <v>9998580</v>
          </cell>
        </row>
        <row r="283">
          <cell r="A283">
            <v>5011601</v>
          </cell>
          <cell r="B283">
            <v>5011601</v>
          </cell>
          <cell r="C283" t="str">
            <v> KLAIM KS/KC HEALTH TAKAFUL FUND AKUN KHAS</v>
          </cell>
          <cell r="D283">
            <v>13072622464.389999</v>
          </cell>
          <cell r="E283">
            <v>1181314080.5999999</v>
          </cell>
          <cell r="F283">
            <v>318670</v>
          </cell>
          <cell r="G283">
            <v>14253617874.99</v>
          </cell>
          <cell r="H283">
            <v>1180995410.5999999</v>
          </cell>
        </row>
        <row r="284">
          <cell r="A284">
            <v>5011602</v>
          </cell>
          <cell r="B284">
            <v>5011602</v>
          </cell>
          <cell r="C284" t="str">
            <v xml:space="preserve"> KLAIM KS/KC HLTH TKF AKUN PST BGHSL </v>
          </cell>
          <cell r="D284">
            <v>158256</v>
          </cell>
          <cell r="E284">
            <v>0</v>
          </cell>
          <cell r="F284">
            <v>0</v>
          </cell>
          <cell r="G284">
            <v>158256</v>
          </cell>
          <cell r="H284">
            <v>0</v>
          </cell>
        </row>
        <row r="285">
          <cell r="A285">
            <v>5015101</v>
          </cell>
          <cell r="B285">
            <v>5015101</v>
          </cell>
          <cell r="C285" t="str">
            <v> KLAIM MD FAMILY TAKAFUL FUND AKUN PST ($)</v>
          </cell>
          <cell r="D285">
            <v>82347525</v>
          </cell>
          <cell r="E285">
            <v>0</v>
          </cell>
          <cell r="F285">
            <v>0</v>
          </cell>
          <cell r="G285">
            <v>82347525</v>
          </cell>
          <cell r="H285">
            <v>0</v>
          </cell>
        </row>
        <row r="286">
          <cell r="A286">
            <v>5015103</v>
          </cell>
          <cell r="B286">
            <v>5015103</v>
          </cell>
          <cell r="C286" t="str">
            <v> KLAIM MD FAMILY TAKAFUL FUND AKUN PST BA</v>
          </cell>
          <cell r="D286">
            <v>24953820.449999999</v>
          </cell>
          <cell r="E286">
            <v>0</v>
          </cell>
          <cell r="F286">
            <v>0</v>
          </cell>
          <cell r="G286">
            <v>24953820.449999999</v>
          </cell>
          <cell r="H286">
            <v>0</v>
          </cell>
        </row>
        <row r="287">
          <cell r="A287">
            <v>5015501</v>
          </cell>
          <cell r="B287">
            <v>5015501</v>
          </cell>
          <cell r="C287" t="str">
            <v> KLAIM JT FAMILY TAKAFUL FUND AKUN PST ($</v>
          </cell>
          <cell r="D287">
            <v>1013438113.35</v>
          </cell>
          <cell r="E287">
            <v>124795680.75</v>
          </cell>
          <cell r="F287">
            <v>0</v>
          </cell>
          <cell r="G287">
            <v>1138233794.0999999</v>
          </cell>
          <cell r="H287">
            <v>124795680.75</v>
          </cell>
        </row>
        <row r="288">
          <cell r="A288">
            <v>5015502</v>
          </cell>
          <cell r="B288">
            <v>5015502</v>
          </cell>
          <cell r="C288" t="str">
            <v> KLAIM JT FAMILY TAKAFUL FUND AKUN KHAS PS</v>
          </cell>
          <cell r="D288">
            <v>3059093.7</v>
          </cell>
          <cell r="E288">
            <v>0</v>
          </cell>
          <cell r="F288">
            <v>0</v>
          </cell>
          <cell r="G288">
            <v>3059093.7</v>
          </cell>
          <cell r="H288">
            <v>0</v>
          </cell>
        </row>
        <row r="289">
          <cell r="A289">
            <v>5015503</v>
          </cell>
          <cell r="B289">
            <v>5015503</v>
          </cell>
          <cell r="C289" t="str">
            <v> KLAIM JT FAMILY TAKAFUL FUND AKUN PST BA</v>
          </cell>
          <cell r="D289">
            <v>92983690.799999997</v>
          </cell>
          <cell r="E289">
            <v>5157970.3499999996</v>
          </cell>
          <cell r="F289">
            <v>0</v>
          </cell>
          <cell r="G289">
            <v>98141661.150000006</v>
          </cell>
          <cell r="H289">
            <v>5157970.3499999996</v>
          </cell>
        </row>
        <row r="290">
          <cell r="A290">
            <v>5015901</v>
          </cell>
          <cell r="B290">
            <v>5015901</v>
          </cell>
          <cell r="C290" t="str">
            <v> KLAIM NT FAMILY TAKAFUL FUND AKUN PST ($</v>
          </cell>
          <cell r="D290">
            <v>688088678.54999995</v>
          </cell>
          <cell r="E290">
            <v>23730201.300000001</v>
          </cell>
          <cell r="F290">
            <v>0</v>
          </cell>
          <cell r="G290">
            <v>711818879.85000002</v>
          </cell>
          <cell r="H290">
            <v>23730201.300000001</v>
          </cell>
        </row>
        <row r="291">
          <cell r="A291">
            <v>5015903</v>
          </cell>
          <cell r="B291">
            <v>5015903</v>
          </cell>
          <cell r="C291" t="str">
            <v> KLAIM NT FAMILY TAKAFUL FUND AKUN PST (</v>
          </cell>
          <cell r="D291">
            <v>86034421.200000003</v>
          </cell>
          <cell r="E291">
            <v>2819154</v>
          </cell>
          <cell r="F291">
            <v>0</v>
          </cell>
          <cell r="G291">
            <v>88853575.200000003</v>
          </cell>
          <cell r="H291">
            <v>2819154</v>
          </cell>
        </row>
        <row r="292">
          <cell r="A292">
            <v>5016001</v>
          </cell>
          <cell r="B292">
            <v>5016001</v>
          </cell>
          <cell r="C292" t="str">
            <v xml:space="preserve"> KLAIM NT GRP TKF AKUN KHAS PST ($) </v>
          </cell>
          <cell r="D292">
            <v>2500000000</v>
          </cell>
          <cell r="E292">
            <v>0</v>
          </cell>
          <cell r="F292">
            <v>0</v>
          </cell>
          <cell r="G292">
            <v>2500000000</v>
          </cell>
          <cell r="H292">
            <v>0</v>
          </cell>
        </row>
        <row r="293">
          <cell r="A293">
            <v>5020101</v>
          </cell>
          <cell r="B293">
            <v>5020101</v>
          </cell>
          <cell r="C293" t="str">
            <v> KLAIM REASURANSI RUPIAH FAMILY TAKAFUL FUN</v>
          </cell>
          <cell r="D293">
            <v>-8097018531</v>
          </cell>
          <cell r="E293">
            <v>0</v>
          </cell>
          <cell r="F293">
            <v>0</v>
          </cell>
          <cell r="G293">
            <v>-8097018531</v>
          </cell>
          <cell r="H293">
            <v>0</v>
          </cell>
        </row>
        <row r="294">
          <cell r="A294">
            <v>5030101</v>
          </cell>
          <cell r="B294">
            <v>5030101</v>
          </cell>
          <cell r="C294" t="str">
            <v> KENAIKAN (PENURUNAN) KMPMD FAMILY TKF AKUN</v>
          </cell>
          <cell r="D294">
            <v>14918851174.719999</v>
          </cell>
          <cell r="E294">
            <v>0</v>
          </cell>
          <cell r="F294">
            <v>0</v>
          </cell>
          <cell r="G294">
            <v>14918851174.719999</v>
          </cell>
          <cell r="H294">
            <v>0</v>
          </cell>
        </row>
        <row r="295">
          <cell r="A295">
            <v>5100102</v>
          </cell>
          <cell r="B295">
            <v>5100102</v>
          </cell>
          <cell r="C295" t="str">
            <v xml:space="preserve"> BEBAN AKUISISI (KOT) TRANSPORT </v>
          </cell>
          <cell r="D295">
            <v>1708870325.1800001</v>
          </cell>
          <cell r="E295">
            <v>192452192.63999999</v>
          </cell>
          <cell r="F295">
            <v>701875.79</v>
          </cell>
          <cell r="G295">
            <v>1900620642.03</v>
          </cell>
          <cell r="H295">
            <v>191750316.84999999</v>
          </cell>
        </row>
        <row r="296">
          <cell r="A296">
            <v>5100103</v>
          </cell>
          <cell r="B296">
            <v>5100103</v>
          </cell>
          <cell r="C296" t="str">
            <v xml:space="preserve"> BEBAN AKUISISI (KOT) INSENTIF </v>
          </cell>
          <cell r="D296">
            <v>7512779367.75</v>
          </cell>
          <cell r="E296">
            <v>1205510016.5599999</v>
          </cell>
          <cell r="F296">
            <v>1233500</v>
          </cell>
          <cell r="G296">
            <v>8717055884.3099995</v>
          </cell>
          <cell r="H296">
            <v>1204276516.5599999</v>
          </cell>
        </row>
        <row r="297">
          <cell r="A297">
            <v>5100104</v>
          </cell>
          <cell r="B297">
            <v>5100104</v>
          </cell>
          <cell r="C297" t="str">
            <v xml:space="preserve"> BEBAN AKUISISI (KOT) INSENTIF LANJUTAN </v>
          </cell>
          <cell r="D297">
            <v>277500</v>
          </cell>
          <cell r="E297">
            <v>183825</v>
          </cell>
          <cell r="F297">
            <v>0</v>
          </cell>
          <cell r="G297">
            <v>461325</v>
          </cell>
          <cell r="H297">
            <v>183825</v>
          </cell>
        </row>
        <row r="298">
          <cell r="A298">
            <v>5100105</v>
          </cell>
          <cell r="B298">
            <v>5100105</v>
          </cell>
          <cell r="C298" t="str">
            <v xml:space="preserve"> BEBAN AKUISISI (KOT) BONUS </v>
          </cell>
          <cell r="D298">
            <v>343298941.74000001</v>
          </cell>
          <cell r="E298">
            <v>41853836</v>
          </cell>
          <cell r="F298">
            <v>19770</v>
          </cell>
          <cell r="G298">
            <v>385133007.74000001</v>
          </cell>
          <cell r="H298">
            <v>41834066</v>
          </cell>
        </row>
        <row r="299">
          <cell r="A299">
            <v>5100106</v>
          </cell>
          <cell r="B299">
            <v>5100106</v>
          </cell>
          <cell r="C299" t="str">
            <v xml:space="preserve"> BEBAN AKUISISI (KOT) THR </v>
          </cell>
          <cell r="D299">
            <v>264273384</v>
          </cell>
          <cell r="E299">
            <v>134578111.44999999</v>
          </cell>
          <cell r="F299">
            <v>725867.37</v>
          </cell>
          <cell r="G299">
            <v>398125628.07999998</v>
          </cell>
          <cell r="H299">
            <v>133852244.07999998</v>
          </cell>
        </row>
        <row r="300">
          <cell r="A300">
            <v>5100108</v>
          </cell>
          <cell r="B300">
            <v>5100108</v>
          </cell>
          <cell r="C300" t="str">
            <v> BEBAN AKUISISI (KOT) OVERRIDING KEPALA PER</v>
          </cell>
          <cell r="D300">
            <v>38748175.93</v>
          </cell>
          <cell r="E300">
            <v>0</v>
          </cell>
          <cell r="F300">
            <v>0</v>
          </cell>
          <cell r="G300">
            <v>38748175.93</v>
          </cell>
          <cell r="H300">
            <v>0</v>
          </cell>
        </row>
        <row r="301">
          <cell r="A301">
            <v>5100109</v>
          </cell>
          <cell r="B301">
            <v>5100109</v>
          </cell>
          <cell r="C301" t="str">
            <v xml:space="preserve"> BEBAN AKUISISI (KOT) KEMITRAAN </v>
          </cell>
          <cell r="D301">
            <v>337365499.70999998</v>
          </cell>
          <cell r="E301">
            <v>65532608</v>
          </cell>
          <cell r="F301">
            <v>1980430.02</v>
          </cell>
          <cell r="G301">
            <v>400917677.69</v>
          </cell>
          <cell r="H301">
            <v>63552177.979999997</v>
          </cell>
        </row>
        <row r="302">
          <cell r="A302">
            <v>5100901</v>
          </cell>
          <cell r="B302">
            <v>5100901</v>
          </cell>
          <cell r="C302" t="str">
            <v xml:space="preserve"> BEBAN AKUISISI LAIN-LAIN CEK KESEHATAN </v>
          </cell>
          <cell r="D302">
            <v>157617828</v>
          </cell>
          <cell r="E302">
            <v>26440950</v>
          </cell>
          <cell r="F302">
            <v>0</v>
          </cell>
          <cell r="G302">
            <v>184058778</v>
          </cell>
          <cell r="H302">
            <v>26440950</v>
          </cell>
        </row>
        <row r="303">
          <cell r="A303">
            <v>5100902</v>
          </cell>
          <cell r="B303">
            <v>5100902</v>
          </cell>
          <cell r="C303" t="str">
            <v> BEBAN AKUISISI LAIN-LAIN POLIS DAN KARTU P</v>
          </cell>
          <cell r="D303">
            <v>1600000</v>
          </cell>
          <cell r="E303">
            <v>0</v>
          </cell>
          <cell r="F303">
            <v>0</v>
          </cell>
          <cell r="G303">
            <v>1600000</v>
          </cell>
          <cell r="H303">
            <v>0</v>
          </cell>
        </row>
        <row r="304">
          <cell r="A304">
            <v>5200101</v>
          </cell>
          <cell r="B304">
            <v>5200101</v>
          </cell>
          <cell r="C304" t="str">
            <v xml:space="preserve"> BEBAN PEMASARAN PROMOSI MEDIA CETAK </v>
          </cell>
          <cell r="D304">
            <v>169348507.63</v>
          </cell>
          <cell r="E304">
            <v>101809000</v>
          </cell>
          <cell r="F304">
            <v>0</v>
          </cell>
          <cell r="G304">
            <v>271157507.63</v>
          </cell>
          <cell r="H304">
            <v>101809000</v>
          </cell>
        </row>
        <row r="305">
          <cell r="A305">
            <v>5200102</v>
          </cell>
          <cell r="B305">
            <v>5200102</v>
          </cell>
          <cell r="C305" t="str">
            <v xml:space="preserve"> BEBAN PEMASARAN PROMOSI MEDIA ELEKTRONIK </v>
          </cell>
          <cell r="D305">
            <v>23432954.760000002</v>
          </cell>
          <cell r="E305">
            <v>7750000</v>
          </cell>
          <cell r="F305">
            <v>215750</v>
          </cell>
          <cell r="G305">
            <v>30967204.760000002</v>
          </cell>
          <cell r="H305">
            <v>7534250</v>
          </cell>
        </row>
        <row r="306">
          <cell r="A306">
            <v>5200103</v>
          </cell>
          <cell r="B306">
            <v>5200103</v>
          </cell>
          <cell r="C306" t="str">
            <v xml:space="preserve"> BEBAN PEMASARAN PROMOSI SPONSOR </v>
          </cell>
          <cell r="D306">
            <v>111100589.76000001</v>
          </cell>
          <cell r="E306">
            <v>8750000</v>
          </cell>
          <cell r="F306">
            <v>0</v>
          </cell>
          <cell r="G306">
            <v>119850589.76000001</v>
          </cell>
          <cell r="H306">
            <v>8750000</v>
          </cell>
        </row>
        <row r="307">
          <cell r="A307">
            <v>5200104</v>
          </cell>
          <cell r="B307">
            <v>5200104</v>
          </cell>
          <cell r="C307" t="str">
            <v xml:space="preserve"> BEBAN PEMASARAN PROMOSI SUVENIR </v>
          </cell>
          <cell r="D307">
            <v>37903750.600000001</v>
          </cell>
          <cell r="E307">
            <v>14018400</v>
          </cell>
          <cell r="F307">
            <v>0</v>
          </cell>
          <cell r="G307">
            <v>51922150.600000001</v>
          </cell>
          <cell r="H307">
            <v>14018400</v>
          </cell>
        </row>
        <row r="308">
          <cell r="A308">
            <v>5200105</v>
          </cell>
          <cell r="B308">
            <v>5200105</v>
          </cell>
          <cell r="C308" t="str">
            <v xml:space="preserve"> BEBAN PEMASARAN PROMOSI LAIN-LAIN </v>
          </cell>
          <cell r="D308">
            <v>256935710</v>
          </cell>
          <cell r="E308">
            <v>47605223</v>
          </cell>
          <cell r="F308">
            <v>250000</v>
          </cell>
          <cell r="G308">
            <v>304290933</v>
          </cell>
          <cell r="H308">
            <v>47355223</v>
          </cell>
        </row>
        <row r="309">
          <cell r="A309">
            <v>5200106</v>
          </cell>
          <cell r="B309">
            <v>5200106</v>
          </cell>
          <cell r="C309" t="str">
            <v xml:space="preserve"> BEBAN PEMASARAN - TENDER </v>
          </cell>
          <cell r="D309">
            <v>28915134.359999999</v>
          </cell>
          <cell r="E309">
            <v>498000</v>
          </cell>
          <cell r="F309">
            <v>586750</v>
          </cell>
          <cell r="G309">
            <v>28826384.359999999</v>
          </cell>
          <cell r="H309">
            <v>-88750</v>
          </cell>
        </row>
        <row r="310">
          <cell r="A310">
            <v>5200201</v>
          </cell>
          <cell r="B310">
            <v>5200201</v>
          </cell>
          <cell r="C310" t="str">
            <v> BEBAN PEMASARAN ENTR &amp; REPR JAMUAN MAKAN D</v>
          </cell>
          <cell r="D310">
            <v>68388045</v>
          </cell>
          <cell r="E310">
            <v>9268100</v>
          </cell>
          <cell r="F310">
            <v>0</v>
          </cell>
          <cell r="G310">
            <v>77656145</v>
          </cell>
          <cell r="H310">
            <v>9268100</v>
          </cell>
        </row>
        <row r="311">
          <cell r="A311">
            <v>5200202</v>
          </cell>
          <cell r="B311">
            <v>5200202</v>
          </cell>
          <cell r="C311" t="str">
            <v xml:space="preserve"> BEBAN PEMASARAN ENTR &amp; REPR FASILITAS DAN </v>
          </cell>
          <cell r="D311">
            <v>3943900</v>
          </cell>
          <cell r="E311">
            <v>100000</v>
          </cell>
          <cell r="F311">
            <v>0</v>
          </cell>
          <cell r="G311">
            <v>4043900</v>
          </cell>
          <cell r="H311">
            <v>100000</v>
          </cell>
        </row>
        <row r="312">
          <cell r="A312">
            <v>5200203</v>
          </cell>
          <cell r="B312">
            <v>5200203</v>
          </cell>
          <cell r="C312" t="str">
            <v xml:space="preserve"> BEBAN PEMASARAN ENTR &amp; REPR OLAH RAGA </v>
          </cell>
          <cell r="D312">
            <v>3462682.5</v>
          </cell>
          <cell r="E312">
            <v>0</v>
          </cell>
          <cell r="F312">
            <v>0</v>
          </cell>
          <cell r="G312">
            <v>3462682.5</v>
          </cell>
          <cell r="H312">
            <v>0</v>
          </cell>
        </row>
        <row r="313">
          <cell r="A313">
            <v>5200301</v>
          </cell>
          <cell r="B313">
            <v>5200301</v>
          </cell>
          <cell r="C313" t="str">
            <v xml:space="preserve"> BEBAN PEMASARAN KONTES KEAGENAN </v>
          </cell>
          <cell r="D313">
            <v>73016550</v>
          </cell>
          <cell r="E313">
            <v>0</v>
          </cell>
          <cell r="F313">
            <v>0</v>
          </cell>
          <cell r="G313">
            <v>73016550</v>
          </cell>
          <cell r="H313">
            <v>0</v>
          </cell>
        </row>
        <row r="314">
          <cell r="A314">
            <v>5200401</v>
          </cell>
          <cell r="B314">
            <v>5200401</v>
          </cell>
          <cell r="C314" t="str">
            <v xml:space="preserve"> BEBAN PEMASARAN LAINNYA PERJALANAN DINAS </v>
          </cell>
          <cell r="D314">
            <v>27205545</v>
          </cell>
          <cell r="E314">
            <v>52050</v>
          </cell>
          <cell r="F314">
            <v>0</v>
          </cell>
          <cell r="G314">
            <v>27257595</v>
          </cell>
          <cell r="H314">
            <v>52050</v>
          </cell>
        </row>
        <row r="315">
          <cell r="A315">
            <v>5200402</v>
          </cell>
          <cell r="B315">
            <v>5200402</v>
          </cell>
          <cell r="C315" t="str">
            <v xml:space="preserve"> BEBAN PEMASARAN LAINNYA DIKLAT </v>
          </cell>
          <cell r="D315">
            <v>182048756</v>
          </cell>
          <cell r="E315">
            <v>6336732</v>
          </cell>
          <cell r="F315">
            <v>50000</v>
          </cell>
          <cell r="G315">
            <v>188335488</v>
          </cell>
          <cell r="H315">
            <v>6286732</v>
          </cell>
        </row>
        <row r="316">
          <cell r="A316">
            <v>5200403</v>
          </cell>
          <cell r="B316">
            <v>5200403</v>
          </cell>
          <cell r="C316" t="str">
            <v xml:space="preserve"> BEBAN PEMASARAN LAINNYA REKRUTMENT </v>
          </cell>
          <cell r="D316">
            <v>1802550</v>
          </cell>
          <cell r="E316">
            <v>0</v>
          </cell>
          <cell r="F316">
            <v>0</v>
          </cell>
          <cell r="G316">
            <v>1802550</v>
          </cell>
          <cell r="H316">
            <v>0</v>
          </cell>
        </row>
        <row r="317">
          <cell r="A317">
            <v>5200405</v>
          </cell>
          <cell r="B317">
            <v>5200405</v>
          </cell>
          <cell r="C317" t="str">
            <v xml:space="preserve"> BEBAN PEMASARAN - RAPAT </v>
          </cell>
          <cell r="D317">
            <v>20789880</v>
          </cell>
          <cell r="E317">
            <v>838450</v>
          </cell>
          <cell r="F317">
            <v>0</v>
          </cell>
          <cell r="G317">
            <v>21628330</v>
          </cell>
          <cell r="H317">
            <v>838450</v>
          </cell>
        </row>
        <row r="318">
          <cell r="A318">
            <v>5300101</v>
          </cell>
          <cell r="B318">
            <v>5300101</v>
          </cell>
          <cell r="C318" t="str">
            <v xml:space="preserve"> BEBAN PEGAWAI DIREKSI DAN KOMISARIS GAJI </v>
          </cell>
          <cell r="D318">
            <v>39771100</v>
          </cell>
          <cell r="E318">
            <v>0</v>
          </cell>
          <cell r="F318">
            <v>0</v>
          </cell>
          <cell r="G318">
            <v>39771100</v>
          </cell>
          <cell r="H318">
            <v>0</v>
          </cell>
        </row>
        <row r="319">
          <cell r="A319">
            <v>5300103</v>
          </cell>
          <cell r="B319">
            <v>5300103</v>
          </cell>
          <cell r="C319" t="str">
            <v> BEBAN PEGAWAI DIREKSI DAN KOMISARIS KESEH</v>
          </cell>
          <cell r="D319">
            <v>155000</v>
          </cell>
          <cell r="E319">
            <v>649500</v>
          </cell>
          <cell r="F319">
            <v>804500</v>
          </cell>
          <cell r="G319">
            <v>0</v>
          </cell>
          <cell r="H319">
            <v>-155000</v>
          </cell>
        </row>
        <row r="320">
          <cell r="A320">
            <v>5300106</v>
          </cell>
          <cell r="B320">
            <v>5300106</v>
          </cell>
          <cell r="C320" t="str">
            <v> BEBAN PEGAWAI DIREKSI DAN KOMISARIS LAIN</v>
          </cell>
          <cell r="D320">
            <v>82284894.769999996</v>
          </cell>
          <cell r="E320">
            <v>0</v>
          </cell>
          <cell r="F320">
            <v>0</v>
          </cell>
          <cell r="G320">
            <v>82284894.769999996</v>
          </cell>
          <cell r="H320">
            <v>0</v>
          </cell>
        </row>
        <row r="321">
          <cell r="A321">
            <v>5300201</v>
          </cell>
          <cell r="B321">
            <v>5300201</v>
          </cell>
          <cell r="C321" t="str">
            <v xml:space="preserve"> BEBAN PEGAWAI GAJI &amp; UPAH PERSONEL UMUM &amp; </v>
          </cell>
          <cell r="D321">
            <v>7413515595.1599998</v>
          </cell>
          <cell r="E321">
            <v>1014454878.1900001</v>
          </cell>
          <cell r="F321">
            <v>0</v>
          </cell>
          <cell r="G321">
            <v>8427970473.3500004</v>
          </cell>
          <cell r="H321">
            <v>1014454878.1900001</v>
          </cell>
        </row>
        <row r="322">
          <cell r="A322">
            <v>5300202</v>
          </cell>
          <cell r="B322">
            <v>5300202</v>
          </cell>
          <cell r="C322" t="str">
            <v> BEBAN PEGAWAI GAJI &amp; UPAH PRSNL UMUM &amp; ADM</v>
          </cell>
          <cell r="D322">
            <v>550000</v>
          </cell>
          <cell r="E322">
            <v>0</v>
          </cell>
          <cell r="F322">
            <v>0</v>
          </cell>
          <cell r="G322">
            <v>550000</v>
          </cell>
          <cell r="H322">
            <v>0</v>
          </cell>
        </row>
        <row r="323">
          <cell r="A323">
            <v>5300203</v>
          </cell>
          <cell r="B323">
            <v>5300203</v>
          </cell>
          <cell r="C323" t="str">
            <v xml:space="preserve"> BEBAN PEGAWAI GAJI DAN UPAH KOLEKTOR </v>
          </cell>
          <cell r="D323">
            <v>532000</v>
          </cell>
          <cell r="E323">
            <v>0</v>
          </cell>
          <cell r="F323">
            <v>0</v>
          </cell>
          <cell r="G323">
            <v>532000</v>
          </cell>
          <cell r="H323">
            <v>0</v>
          </cell>
        </row>
        <row r="324">
          <cell r="A324">
            <v>5300204</v>
          </cell>
          <cell r="B324">
            <v>5300204</v>
          </cell>
          <cell r="C324" t="str">
            <v xml:space="preserve"> BEBAN PEGAWAI - KEMITRAAN </v>
          </cell>
          <cell r="D324">
            <v>862083681.5</v>
          </cell>
          <cell r="E324">
            <v>327212569</v>
          </cell>
          <cell r="F324">
            <v>0</v>
          </cell>
          <cell r="G324">
            <v>1189296250.5</v>
          </cell>
          <cell r="H324">
            <v>327212569</v>
          </cell>
        </row>
        <row r="325">
          <cell r="A325">
            <v>5300301</v>
          </cell>
          <cell r="B325">
            <v>5300301</v>
          </cell>
          <cell r="C325" t="str">
            <v xml:space="preserve"> BEBAN PEGAWAI LEMBUR </v>
          </cell>
          <cell r="D325">
            <v>6381184</v>
          </cell>
          <cell r="E325">
            <v>0</v>
          </cell>
          <cell r="F325">
            <v>0</v>
          </cell>
          <cell r="G325">
            <v>6381184</v>
          </cell>
          <cell r="H325">
            <v>0</v>
          </cell>
        </row>
        <row r="326">
          <cell r="A326">
            <v>5300302</v>
          </cell>
          <cell r="B326">
            <v>5300302</v>
          </cell>
          <cell r="C326" t="str">
            <v xml:space="preserve"> BEBAN PEGAWAI HONOR </v>
          </cell>
          <cell r="D326">
            <v>35514755.299999997</v>
          </cell>
          <cell r="E326">
            <v>11118181.800000001</v>
          </cell>
          <cell r="F326">
            <v>0</v>
          </cell>
          <cell r="G326">
            <v>46632937.100000001</v>
          </cell>
          <cell r="H326">
            <v>11118181.800000001</v>
          </cell>
        </row>
        <row r="327">
          <cell r="A327">
            <v>5300401</v>
          </cell>
          <cell r="B327">
            <v>5300401</v>
          </cell>
          <cell r="C327" t="str">
            <v xml:space="preserve"> BEBAN PEGAWAI KOLEKTOR TRANSPORT </v>
          </cell>
          <cell r="D327">
            <v>10267000</v>
          </cell>
          <cell r="E327">
            <v>1965000</v>
          </cell>
          <cell r="F327">
            <v>132000</v>
          </cell>
          <cell r="G327">
            <v>12100000</v>
          </cell>
          <cell r="H327">
            <v>1833000</v>
          </cell>
        </row>
        <row r="328">
          <cell r="A328">
            <v>5300402</v>
          </cell>
          <cell r="B328">
            <v>5300402</v>
          </cell>
          <cell r="C328" t="str">
            <v xml:space="preserve"> BEBAN PEGAWAI KOLEKTOR INSENTIF </v>
          </cell>
          <cell r="D328">
            <v>209937850</v>
          </cell>
          <cell r="E328">
            <v>26379000</v>
          </cell>
          <cell r="F328">
            <v>0</v>
          </cell>
          <cell r="G328">
            <v>236316850</v>
          </cell>
          <cell r="H328">
            <v>26379000</v>
          </cell>
        </row>
        <row r="329">
          <cell r="A329">
            <v>5300404</v>
          </cell>
          <cell r="B329">
            <v>5300404</v>
          </cell>
          <cell r="C329" t="str">
            <v> BEBAN PEGAWAI KOLEKTOR INSENTIF PREMI LANJ</v>
          </cell>
          <cell r="D329">
            <v>115000</v>
          </cell>
          <cell r="E329">
            <v>0</v>
          </cell>
          <cell r="F329">
            <v>0</v>
          </cell>
          <cell r="G329">
            <v>115000</v>
          </cell>
          <cell r="H329">
            <v>0</v>
          </cell>
        </row>
        <row r="330">
          <cell r="A330">
            <v>5300501</v>
          </cell>
          <cell r="B330">
            <v>5300501</v>
          </cell>
          <cell r="C330" t="str">
            <v> BEBAN PEGAWAI TUNJANGAN HARI RAYA DAN BONU</v>
          </cell>
          <cell r="D330">
            <v>1602024240.7</v>
          </cell>
          <cell r="E330">
            <v>254537131.46000001</v>
          </cell>
          <cell r="F330">
            <v>200000</v>
          </cell>
          <cell r="G330">
            <v>1856361372.1600001</v>
          </cell>
          <cell r="H330">
            <v>254337131.46000001</v>
          </cell>
        </row>
        <row r="331">
          <cell r="A331">
            <v>5300502</v>
          </cell>
          <cell r="B331">
            <v>5300502</v>
          </cell>
          <cell r="C331" t="str">
            <v xml:space="preserve"> BEBAN PEGAWAI TUNJANGAN-TUNJANGAN JABATAN </v>
          </cell>
          <cell r="D331">
            <v>0</v>
          </cell>
          <cell r="E331">
            <v>50000</v>
          </cell>
          <cell r="F331">
            <v>50000</v>
          </cell>
          <cell r="G331">
            <v>0</v>
          </cell>
          <cell r="H331">
            <v>0</v>
          </cell>
        </row>
        <row r="332">
          <cell r="A332">
            <v>5300504</v>
          </cell>
          <cell r="B332">
            <v>5300504</v>
          </cell>
          <cell r="C332" t="str">
            <v> BEBAN PEGAWAI TUNJANGAN-TUNJANGAN KESEHATA</v>
          </cell>
          <cell r="D332">
            <v>485391861.5</v>
          </cell>
          <cell r="E332">
            <v>45143479</v>
          </cell>
          <cell r="F332">
            <v>541400</v>
          </cell>
          <cell r="G332">
            <v>529993940.5</v>
          </cell>
          <cell r="H332">
            <v>44602079</v>
          </cell>
        </row>
        <row r="333">
          <cell r="A333">
            <v>5300506</v>
          </cell>
          <cell r="B333">
            <v>5300506</v>
          </cell>
          <cell r="C333" t="str">
            <v> BEBAN PEGAWAI TUNJANGAN-TUNJANGAN TRANSPOR</v>
          </cell>
          <cell r="D333">
            <v>295500</v>
          </cell>
          <cell r="E333">
            <v>0</v>
          </cell>
          <cell r="F333">
            <v>0</v>
          </cell>
          <cell r="G333">
            <v>295500</v>
          </cell>
          <cell r="H333">
            <v>0</v>
          </cell>
        </row>
        <row r="334">
          <cell r="A334">
            <v>5300507</v>
          </cell>
          <cell r="B334">
            <v>5300507</v>
          </cell>
          <cell r="C334" t="str">
            <v xml:space="preserve"> BEBAN PEGAWAI TUNJANGAN-TUNJANGAN CUTI </v>
          </cell>
          <cell r="D334">
            <v>42616273</v>
          </cell>
          <cell r="E334">
            <v>17338970</v>
          </cell>
          <cell r="F334">
            <v>0</v>
          </cell>
          <cell r="G334">
            <v>59955243</v>
          </cell>
          <cell r="H334">
            <v>17338970</v>
          </cell>
        </row>
        <row r="335">
          <cell r="A335">
            <v>5300601</v>
          </cell>
          <cell r="B335">
            <v>5300601</v>
          </cell>
          <cell r="C335" t="str">
            <v xml:space="preserve"> BEBAN PEGAWAI KSJTR KYW PREMI ASURANSI </v>
          </cell>
          <cell r="D335">
            <v>320258653</v>
          </cell>
          <cell r="E335">
            <v>123199757</v>
          </cell>
          <cell r="F335">
            <v>0</v>
          </cell>
          <cell r="G335">
            <v>443458410</v>
          </cell>
          <cell r="H335">
            <v>123199757</v>
          </cell>
        </row>
        <row r="336">
          <cell r="A336">
            <v>5300602</v>
          </cell>
          <cell r="B336">
            <v>5300602</v>
          </cell>
          <cell r="C336" t="str">
            <v> BEBAN PEGAWAI KESEJAHTERAAN KARYAWAN JAMSO</v>
          </cell>
          <cell r="D336">
            <v>339003515</v>
          </cell>
          <cell r="E336">
            <v>38760286</v>
          </cell>
          <cell r="F336">
            <v>0</v>
          </cell>
          <cell r="G336">
            <v>377763801</v>
          </cell>
          <cell r="H336">
            <v>38760286</v>
          </cell>
        </row>
        <row r="337">
          <cell r="A337">
            <v>5300604</v>
          </cell>
          <cell r="B337">
            <v>5300604</v>
          </cell>
          <cell r="C337" t="str">
            <v> BEBAN PEGAWAI KSJTR KYW OLAH RAGA DAN REKR</v>
          </cell>
          <cell r="D337">
            <v>53574943</v>
          </cell>
          <cell r="E337">
            <v>3884000</v>
          </cell>
          <cell r="F337">
            <v>0</v>
          </cell>
          <cell r="G337">
            <v>57458943</v>
          </cell>
          <cell r="H337">
            <v>3884000</v>
          </cell>
        </row>
        <row r="338">
          <cell r="A338">
            <v>5300605</v>
          </cell>
          <cell r="B338">
            <v>5300605</v>
          </cell>
          <cell r="C338" t="str">
            <v> BEBAN PEGAWAI KSJTR KYW PENGOBATAN/RUMAH S</v>
          </cell>
          <cell r="D338">
            <v>68000</v>
          </cell>
          <cell r="E338">
            <v>0</v>
          </cell>
          <cell r="F338">
            <v>68000</v>
          </cell>
          <cell r="G338">
            <v>0</v>
          </cell>
          <cell r="H338">
            <v>-68000</v>
          </cell>
        </row>
        <row r="339">
          <cell r="A339">
            <v>5300606</v>
          </cell>
          <cell r="B339">
            <v>5300606</v>
          </cell>
          <cell r="C339" t="str">
            <v xml:space="preserve"> BEBAN PEGAWAI KSJTR KYW PAKAIAN SERAGAM </v>
          </cell>
          <cell r="D339">
            <v>2800000</v>
          </cell>
          <cell r="E339">
            <v>0</v>
          </cell>
          <cell r="F339">
            <v>0</v>
          </cell>
          <cell r="G339">
            <v>2800000</v>
          </cell>
          <cell r="H339">
            <v>0</v>
          </cell>
        </row>
        <row r="340">
          <cell r="A340">
            <v>5300607</v>
          </cell>
          <cell r="B340">
            <v>5300607</v>
          </cell>
          <cell r="C340" t="str">
            <v xml:space="preserve"> BEBAN PEGAWAI KSJTR KYW SUMBANGAN PEGAWAI </v>
          </cell>
          <cell r="D340">
            <v>85750000</v>
          </cell>
          <cell r="E340">
            <v>21000000</v>
          </cell>
          <cell r="F340">
            <v>0</v>
          </cell>
          <cell r="G340">
            <v>106750000</v>
          </cell>
          <cell r="H340">
            <v>21000000</v>
          </cell>
        </row>
        <row r="341">
          <cell r="A341">
            <v>5300701</v>
          </cell>
          <cell r="B341">
            <v>5300701</v>
          </cell>
          <cell r="C341" t="str">
            <v> BEBAN PEGAWAI - PNRMN &amp; SELEKSI PGW PSIKOT</v>
          </cell>
          <cell r="D341">
            <v>2855112.45</v>
          </cell>
          <cell r="E341">
            <v>0</v>
          </cell>
          <cell r="F341">
            <v>0</v>
          </cell>
          <cell r="G341">
            <v>2855112.45</v>
          </cell>
          <cell r="H341">
            <v>0</v>
          </cell>
        </row>
        <row r="342">
          <cell r="A342">
            <v>5300702</v>
          </cell>
          <cell r="B342">
            <v>5300702</v>
          </cell>
          <cell r="C342" t="str">
            <v> BEBAN PEGAWAI - PNRMN &amp; SELEKSI PGW TEST K</v>
          </cell>
          <cell r="D342">
            <v>2547850</v>
          </cell>
          <cell r="E342">
            <v>0</v>
          </cell>
          <cell r="F342">
            <v>0</v>
          </cell>
          <cell r="G342">
            <v>2547850</v>
          </cell>
          <cell r="H342">
            <v>0</v>
          </cell>
        </row>
        <row r="343">
          <cell r="A343">
            <v>5300703</v>
          </cell>
          <cell r="B343">
            <v>5300703</v>
          </cell>
          <cell r="C343" t="str">
            <v xml:space="preserve"> BEBAN PEGAWAI - PNRMN &amp; SELEKSI PGW IKLAN </v>
          </cell>
          <cell r="D343">
            <v>1140318.3600000001</v>
          </cell>
          <cell r="E343">
            <v>0</v>
          </cell>
          <cell r="F343">
            <v>0</v>
          </cell>
          <cell r="G343">
            <v>1140318.3600000001</v>
          </cell>
          <cell r="H343">
            <v>0</v>
          </cell>
        </row>
        <row r="344">
          <cell r="A344">
            <v>5300801</v>
          </cell>
          <cell r="B344">
            <v>5300801</v>
          </cell>
          <cell r="C344" t="str">
            <v xml:space="preserve"> BEBAN PEGAWAI BEBAN PINDAH PEGAWAI </v>
          </cell>
          <cell r="D344">
            <v>16647500</v>
          </cell>
          <cell r="E344">
            <v>20210000</v>
          </cell>
          <cell r="F344">
            <v>0</v>
          </cell>
          <cell r="G344">
            <v>36857500</v>
          </cell>
          <cell r="H344">
            <v>20210000</v>
          </cell>
        </row>
        <row r="345">
          <cell r="A345">
            <v>5300902</v>
          </cell>
          <cell r="B345">
            <v>5300902</v>
          </cell>
          <cell r="C345" t="str">
            <v xml:space="preserve"> BEBAN LAIN - LAIN IMBAL KERJA KARYAWAN </v>
          </cell>
          <cell r="D345">
            <v>1001250000</v>
          </cell>
          <cell r="E345">
            <v>0</v>
          </cell>
          <cell r="F345">
            <v>0</v>
          </cell>
          <cell r="G345">
            <v>1001250000</v>
          </cell>
          <cell r="H345">
            <v>0</v>
          </cell>
        </row>
        <row r="346">
          <cell r="A346">
            <v>5301001</v>
          </cell>
          <cell r="B346">
            <v>5301001</v>
          </cell>
          <cell r="C346" t="str">
            <v> BEBAN PEGAWAI BEBAN PERJALANAN DINAS DALAM</v>
          </cell>
          <cell r="D346">
            <v>527900930</v>
          </cell>
          <cell r="E346">
            <v>27392050</v>
          </cell>
          <cell r="F346">
            <v>1293050</v>
          </cell>
          <cell r="G346">
            <v>553999930</v>
          </cell>
          <cell r="H346">
            <v>26099000</v>
          </cell>
        </row>
        <row r="347">
          <cell r="A347">
            <v>5301002</v>
          </cell>
          <cell r="B347">
            <v>5301002</v>
          </cell>
          <cell r="C347" t="str">
            <v xml:space="preserve"> BEBAN PEGAWAI BEBAN PERJALANAN DINAS LUAR </v>
          </cell>
          <cell r="D347">
            <v>58086640.700000003</v>
          </cell>
          <cell r="E347">
            <v>1574500</v>
          </cell>
          <cell r="F347">
            <v>4873300</v>
          </cell>
          <cell r="G347">
            <v>54787840.700000003</v>
          </cell>
          <cell r="H347">
            <v>-3298800</v>
          </cell>
        </row>
        <row r="348">
          <cell r="A348">
            <v>5400101</v>
          </cell>
          <cell r="B348">
            <v>5400101</v>
          </cell>
          <cell r="C348" t="str">
            <v> BEBAN PENDIDIKAN DAN LATIHAN INHOUSE TRAI</v>
          </cell>
          <cell r="D348">
            <v>154180943.05000001</v>
          </cell>
          <cell r="E348">
            <v>16000000</v>
          </cell>
          <cell r="F348">
            <v>0</v>
          </cell>
          <cell r="G348">
            <v>170180943.05000001</v>
          </cell>
          <cell r="H348">
            <v>16000000</v>
          </cell>
        </row>
        <row r="349">
          <cell r="A349">
            <v>5400103</v>
          </cell>
          <cell r="B349">
            <v>5400103</v>
          </cell>
          <cell r="C349" t="str">
            <v xml:space="preserve"> BEBAN PENDIDIKAN DAN LATIHAN KURSUS </v>
          </cell>
          <cell r="D349">
            <v>2790000</v>
          </cell>
          <cell r="E349">
            <v>600000</v>
          </cell>
          <cell r="F349">
            <v>0</v>
          </cell>
          <cell r="G349">
            <v>3390000</v>
          </cell>
          <cell r="H349">
            <v>600000</v>
          </cell>
        </row>
        <row r="350">
          <cell r="A350">
            <v>5400104</v>
          </cell>
          <cell r="B350">
            <v>5400104</v>
          </cell>
          <cell r="C350" t="str">
            <v xml:space="preserve"> BEBAN PENDIDIKAN DAN LATIHAN SEMINAR </v>
          </cell>
          <cell r="D350">
            <v>87647250</v>
          </cell>
          <cell r="E350">
            <v>15050000</v>
          </cell>
          <cell r="F350">
            <v>0</v>
          </cell>
          <cell r="G350">
            <v>102697250</v>
          </cell>
          <cell r="H350">
            <v>15050000</v>
          </cell>
        </row>
        <row r="351">
          <cell r="A351">
            <v>5400105</v>
          </cell>
          <cell r="B351">
            <v>5400105</v>
          </cell>
          <cell r="C351" t="str">
            <v> BEBAN PENDIDIKAN DAN LATIHAN ONGKOS PERJA</v>
          </cell>
          <cell r="D351">
            <v>35778004.670000002</v>
          </cell>
          <cell r="E351">
            <v>1560000</v>
          </cell>
          <cell r="F351">
            <v>0</v>
          </cell>
          <cell r="G351">
            <v>37338004.670000002</v>
          </cell>
          <cell r="H351">
            <v>1560000</v>
          </cell>
        </row>
        <row r="352">
          <cell r="A352">
            <v>5400107</v>
          </cell>
          <cell r="B352">
            <v>5400107</v>
          </cell>
          <cell r="C352" t="str">
            <v> BEBAN PENDIDIKAN DAN LATIHAN PERPUSTAKAAN</v>
          </cell>
          <cell r="D352">
            <v>14569309</v>
          </cell>
          <cell r="E352">
            <v>0</v>
          </cell>
          <cell r="F352">
            <v>0</v>
          </cell>
          <cell r="G352">
            <v>14569309</v>
          </cell>
          <cell r="H352">
            <v>0</v>
          </cell>
        </row>
        <row r="353">
          <cell r="A353">
            <v>5400108</v>
          </cell>
          <cell r="B353">
            <v>5400108</v>
          </cell>
          <cell r="C353" t="str">
            <v xml:space="preserve"> BEBAN PENDIDIKAN DAN LATIHAN LAINNYA </v>
          </cell>
          <cell r="D353">
            <v>109576132.63</v>
          </cell>
          <cell r="E353">
            <v>2498000</v>
          </cell>
          <cell r="F353">
            <v>1346000</v>
          </cell>
          <cell r="G353">
            <v>110728132.63</v>
          </cell>
          <cell r="H353">
            <v>1152000</v>
          </cell>
        </row>
        <row r="354">
          <cell r="A354">
            <v>5500101</v>
          </cell>
          <cell r="B354">
            <v>5500101</v>
          </cell>
          <cell r="C354" t="str">
            <v xml:space="preserve"> BEBAN KONSULTAN AKUNTAN PUBLIK </v>
          </cell>
          <cell r="D354">
            <v>167938793.03999999</v>
          </cell>
          <cell r="E354">
            <v>0</v>
          </cell>
          <cell r="F354">
            <v>0</v>
          </cell>
          <cell r="G354">
            <v>167938793.03999999</v>
          </cell>
          <cell r="H354">
            <v>0</v>
          </cell>
        </row>
        <row r="355">
          <cell r="A355">
            <v>5500102</v>
          </cell>
          <cell r="B355">
            <v>5500102</v>
          </cell>
          <cell r="C355" t="str">
            <v xml:space="preserve"> BEBAN KONSULTAN KONSULTAN HUKUM </v>
          </cell>
          <cell r="D355">
            <v>62232984.270000003</v>
          </cell>
          <cell r="E355">
            <v>7853403.1399999997</v>
          </cell>
          <cell r="F355">
            <v>0</v>
          </cell>
          <cell r="G355">
            <v>70086387.409999996</v>
          </cell>
          <cell r="H355">
            <v>7853403.1399999997</v>
          </cell>
        </row>
        <row r="356">
          <cell r="A356">
            <v>5500103</v>
          </cell>
          <cell r="B356">
            <v>5500103</v>
          </cell>
          <cell r="C356" t="str">
            <v xml:space="preserve"> BEBAN KONSULTAN NOTARIS </v>
          </cell>
          <cell r="D356">
            <v>22767869.32</v>
          </cell>
          <cell r="E356">
            <v>0</v>
          </cell>
          <cell r="F356">
            <v>0</v>
          </cell>
          <cell r="G356">
            <v>22767869.32</v>
          </cell>
          <cell r="H356">
            <v>0</v>
          </cell>
        </row>
        <row r="357">
          <cell r="A357">
            <v>5500106</v>
          </cell>
          <cell r="B357">
            <v>5500106</v>
          </cell>
          <cell r="C357" t="str">
            <v xml:space="preserve"> BEBAN KONSULTAN LAIN-LAIN </v>
          </cell>
          <cell r="D357">
            <v>179318666.88</v>
          </cell>
          <cell r="E357">
            <v>0</v>
          </cell>
          <cell r="F357">
            <v>0</v>
          </cell>
          <cell r="G357">
            <v>179318666.88</v>
          </cell>
          <cell r="H357">
            <v>0</v>
          </cell>
        </row>
        <row r="358">
          <cell r="A358">
            <v>5500201</v>
          </cell>
          <cell r="B358">
            <v>5500201</v>
          </cell>
          <cell r="C358" t="str">
            <v> JASA MANAJEMEN DAN ROYALTY JASA TEKNIS MAN</v>
          </cell>
          <cell r="D358">
            <v>1140031518</v>
          </cell>
          <cell r="E358">
            <v>199000000</v>
          </cell>
          <cell r="F358">
            <v>0</v>
          </cell>
          <cell r="G358">
            <v>1339031518</v>
          </cell>
          <cell r="H358">
            <v>199000000</v>
          </cell>
        </row>
        <row r="359">
          <cell r="A359">
            <v>5500301</v>
          </cell>
          <cell r="B359">
            <v>5500301</v>
          </cell>
          <cell r="C359" t="str">
            <v xml:space="preserve"> IURAN KEANGGOTAAN ORGANISASI PROFESI </v>
          </cell>
          <cell r="D359">
            <v>8475000</v>
          </cell>
          <cell r="E359">
            <v>375000</v>
          </cell>
          <cell r="F359">
            <v>0</v>
          </cell>
          <cell r="G359">
            <v>8850000</v>
          </cell>
          <cell r="H359">
            <v>375000</v>
          </cell>
        </row>
        <row r="360">
          <cell r="A360">
            <v>5500303</v>
          </cell>
          <cell r="B360">
            <v>5500303</v>
          </cell>
          <cell r="C360" t="str">
            <v xml:space="preserve"> IURAN KEANGGOTAAN ASOSIASI </v>
          </cell>
          <cell r="D360">
            <v>33760000</v>
          </cell>
          <cell r="E360">
            <v>425000</v>
          </cell>
          <cell r="F360">
            <v>0</v>
          </cell>
          <cell r="G360">
            <v>34185000</v>
          </cell>
          <cell r="H360">
            <v>425000</v>
          </cell>
        </row>
        <row r="361">
          <cell r="A361">
            <v>5500304</v>
          </cell>
          <cell r="B361">
            <v>5500304</v>
          </cell>
          <cell r="C361" t="str">
            <v xml:space="preserve"> IURAN KEANGGOTAAN OLAH RAGA </v>
          </cell>
          <cell r="D361">
            <v>-27000</v>
          </cell>
          <cell r="E361">
            <v>0</v>
          </cell>
          <cell r="F361">
            <v>0</v>
          </cell>
          <cell r="G361">
            <v>-27000</v>
          </cell>
          <cell r="H361">
            <v>0</v>
          </cell>
        </row>
        <row r="362">
          <cell r="A362">
            <v>5500401</v>
          </cell>
          <cell r="B362">
            <v>5500401</v>
          </cell>
          <cell r="C362" t="str">
            <v xml:space="preserve"> BEBAN TENAGA KERJA ASING KEIMIGRASIAN </v>
          </cell>
          <cell r="D362">
            <v>48386860.399999999</v>
          </cell>
          <cell r="E362">
            <v>0</v>
          </cell>
          <cell r="F362">
            <v>0</v>
          </cell>
          <cell r="G362">
            <v>48386860.399999999</v>
          </cell>
          <cell r="H362">
            <v>0</v>
          </cell>
        </row>
        <row r="363">
          <cell r="A363">
            <v>5500502</v>
          </cell>
          <cell r="B363">
            <v>5500502</v>
          </cell>
          <cell r="C363" t="str">
            <v xml:space="preserve"> BEBAN PENGHAPUSAN PIUTANG PREMI </v>
          </cell>
          <cell r="D363">
            <v>300000</v>
          </cell>
          <cell r="E363">
            <v>0</v>
          </cell>
          <cell r="F363">
            <v>300000</v>
          </cell>
          <cell r="G363">
            <v>0</v>
          </cell>
          <cell r="H363">
            <v>-300000</v>
          </cell>
        </row>
        <row r="364">
          <cell r="A364">
            <v>5500601</v>
          </cell>
          <cell r="B364">
            <v>5500601</v>
          </cell>
          <cell r="C364" t="str">
            <v xml:space="preserve"> BEBAN UMUM LAIN BEBAN RAPAT KERJA </v>
          </cell>
          <cell r="D364">
            <v>18422594</v>
          </cell>
          <cell r="E364">
            <v>641850</v>
          </cell>
          <cell r="F364">
            <v>0</v>
          </cell>
          <cell r="G364">
            <v>19064444</v>
          </cell>
          <cell r="H364">
            <v>641850</v>
          </cell>
        </row>
        <row r="365">
          <cell r="A365">
            <v>5500602</v>
          </cell>
          <cell r="B365">
            <v>5500602</v>
          </cell>
          <cell r="C365" t="str">
            <v xml:space="preserve"> BEBAN UMUM LAIN BEBAN RAPAT UMUM PEMEGANG </v>
          </cell>
          <cell r="D365">
            <v>42685500</v>
          </cell>
          <cell r="E365">
            <v>0</v>
          </cell>
          <cell r="F365">
            <v>0</v>
          </cell>
          <cell r="G365">
            <v>42685500</v>
          </cell>
          <cell r="H365">
            <v>0</v>
          </cell>
        </row>
        <row r="366">
          <cell r="A366">
            <v>5500603</v>
          </cell>
          <cell r="B366">
            <v>5500603</v>
          </cell>
          <cell r="C366" t="str">
            <v> BEBAN UMUM LAIN BEBAN RISET DAN PENGEMBANG</v>
          </cell>
          <cell r="D366">
            <v>0</v>
          </cell>
          <cell r="E366">
            <v>175000</v>
          </cell>
          <cell r="F366">
            <v>0</v>
          </cell>
          <cell r="G366">
            <v>175000</v>
          </cell>
          <cell r="H366">
            <v>175000</v>
          </cell>
        </row>
        <row r="367">
          <cell r="A367">
            <v>5500605</v>
          </cell>
          <cell r="B367">
            <v>5500605</v>
          </cell>
          <cell r="C367" t="str">
            <v xml:space="preserve"> BEBAN UMUM LAIN SUMBANGAN SOSIAL </v>
          </cell>
          <cell r="D367">
            <v>4981735</v>
          </cell>
          <cell r="E367">
            <v>3141950</v>
          </cell>
          <cell r="F367">
            <v>2752500</v>
          </cell>
          <cell r="G367">
            <v>5371185</v>
          </cell>
          <cell r="H367">
            <v>389450</v>
          </cell>
        </row>
        <row r="368">
          <cell r="A368">
            <v>5500606</v>
          </cell>
          <cell r="B368">
            <v>5500606</v>
          </cell>
          <cell r="C368" t="str">
            <v> BEBAN UMUM LAIN RETRIBUSI KEBERSIHAN DAN K</v>
          </cell>
          <cell r="D368">
            <v>586630146</v>
          </cell>
          <cell r="E368">
            <v>84896540</v>
          </cell>
          <cell r="F368">
            <v>325200</v>
          </cell>
          <cell r="G368">
            <v>671201486</v>
          </cell>
          <cell r="H368">
            <v>84571340</v>
          </cell>
        </row>
        <row r="369">
          <cell r="A369">
            <v>5500691</v>
          </cell>
          <cell r="B369">
            <v>5500691</v>
          </cell>
          <cell r="C369" t="str">
            <v xml:space="preserve"> BEBAN UMUM LAIN LAIN-LAIN </v>
          </cell>
          <cell r="D369">
            <v>111511548.67</v>
          </cell>
          <cell r="E369">
            <v>39472015</v>
          </cell>
          <cell r="F369">
            <v>7000000</v>
          </cell>
          <cell r="G369">
            <v>143983563.66999999</v>
          </cell>
          <cell r="H369">
            <v>32472015</v>
          </cell>
        </row>
        <row r="370">
          <cell r="A370">
            <v>5500701</v>
          </cell>
          <cell r="B370">
            <v>5500701</v>
          </cell>
          <cell r="C370" t="str">
            <v xml:space="preserve"> BEBAN PERKANTORAN SEWA </v>
          </cell>
          <cell r="D370">
            <v>1079459017</v>
          </cell>
          <cell r="E370">
            <v>123695993</v>
          </cell>
          <cell r="F370">
            <v>0</v>
          </cell>
          <cell r="G370">
            <v>1203155010</v>
          </cell>
          <cell r="H370">
            <v>123695993</v>
          </cell>
        </row>
        <row r="371">
          <cell r="A371">
            <v>5500702</v>
          </cell>
          <cell r="B371">
            <v>5500702</v>
          </cell>
          <cell r="C371" t="str">
            <v xml:space="preserve"> BEBAN PERKANTORAN LISTRIK DAN AIR </v>
          </cell>
          <cell r="D371">
            <v>448167209.81</v>
          </cell>
          <cell r="E371">
            <v>74268473.659999996</v>
          </cell>
          <cell r="F371">
            <v>10114852.199999999</v>
          </cell>
          <cell r="G371">
            <v>512320831.26999998</v>
          </cell>
          <cell r="H371">
            <v>64153621.459999993</v>
          </cell>
        </row>
        <row r="372">
          <cell r="A372">
            <v>5500703</v>
          </cell>
          <cell r="B372">
            <v>5500703</v>
          </cell>
          <cell r="C372" t="str">
            <v> BEBAN PERKANTORAN PREMI ASURANSI GEDUNG KA</v>
          </cell>
          <cell r="D372">
            <v>23818018</v>
          </cell>
          <cell r="E372">
            <v>0</v>
          </cell>
          <cell r="F372">
            <v>0</v>
          </cell>
          <cell r="G372">
            <v>23818018</v>
          </cell>
          <cell r="H372">
            <v>0</v>
          </cell>
        </row>
        <row r="373">
          <cell r="A373">
            <v>5500704</v>
          </cell>
          <cell r="B373">
            <v>5500704</v>
          </cell>
          <cell r="C373" t="str">
            <v xml:space="preserve"> BEBAN PERKANTORAN PBB </v>
          </cell>
          <cell r="D373">
            <v>61910664.399999999</v>
          </cell>
          <cell r="E373">
            <v>212440</v>
          </cell>
          <cell r="F373">
            <v>0</v>
          </cell>
          <cell r="G373">
            <v>62123104.399999999</v>
          </cell>
          <cell r="H373">
            <v>212440</v>
          </cell>
        </row>
        <row r="374">
          <cell r="A374">
            <v>5500705</v>
          </cell>
          <cell r="B374">
            <v>5500705</v>
          </cell>
          <cell r="C374" t="str">
            <v> BEBAN PERKANTORAN PEMELIHARAAN DAN PERAWAT</v>
          </cell>
          <cell r="D374">
            <v>284155511</v>
          </cell>
          <cell r="E374">
            <v>10964580</v>
          </cell>
          <cell r="F374">
            <v>114650</v>
          </cell>
          <cell r="G374">
            <v>295005441</v>
          </cell>
          <cell r="H374">
            <v>10849930</v>
          </cell>
        </row>
        <row r="375">
          <cell r="A375">
            <v>5500706</v>
          </cell>
          <cell r="B375">
            <v>5500706</v>
          </cell>
          <cell r="C375" t="str">
            <v xml:space="preserve"> BEBAN PERKANTORAN BEBAN PINDAH KANTOR </v>
          </cell>
          <cell r="D375">
            <v>13061220</v>
          </cell>
          <cell r="E375">
            <v>0</v>
          </cell>
          <cell r="F375">
            <v>0</v>
          </cell>
          <cell r="G375">
            <v>13061220</v>
          </cell>
          <cell r="H375">
            <v>0</v>
          </cell>
        </row>
        <row r="376">
          <cell r="A376">
            <v>5500707</v>
          </cell>
          <cell r="B376">
            <v>5500707</v>
          </cell>
          <cell r="C376" t="str">
            <v xml:space="preserve"> BEBAN PERKANTORAN KEAMANAN </v>
          </cell>
          <cell r="D376">
            <v>52542440</v>
          </cell>
          <cell r="E376">
            <v>3370000</v>
          </cell>
          <cell r="F376">
            <v>3000000</v>
          </cell>
          <cell r="G376">
            <v>52912440</v>
          </cell>
          <cell r="H376">
            <v>370000</v>
          </cell>
        </row>
        <row r="377">
          <cell r="A377">
            <v>5500708</v>
          </cell>
          <cell r="B377">
            <v>5500708</v>
          </cell>
          <cell r="C377" t="str">
            <v xml:space="preserve"> BEBAN PERKANTORAN - PRLT &amp; PERABOTAN </v>
          </cell>
          <cell r="D377">
            <v>15230640</v>
          </cell>
          <cell r="E377">
            <v>1928000</v>
          </cell>
          <cell r="F377">
            <v>0</v>
          </cell>
          <cell r="G377">
            <v>17158640</v>
          </cell>
          <cell r="H377">
            <v>1928000</v>
          </cell>
        </row>
        <row r="378">
          <cell r="A378">
            <v>5500801</v>
          </cell>
          <cell r="B378">
            <v>5500801</v>
          </cell>
          <cell r="C378" t="str">
            <v xml:space="preserve"> BEBAN PERUMAHAN DINAS SEWA </v>
          </cell>
          <cell r="D378">
            <v>274750676</v>
          </cell>
          <cell r="E378">
            <v>38817877</v>
          </cell>
          <cell r="F378">
            <v>0</v>
          </cell>
          <cell r="G378">
            <v>313568553</v>
          </cell>
          <cell r="H378">
            <v>38817877</v>
          </cell>
        </row>
        <row r="379">
          <cell r="A379">
            <v>5500802</v>
          </cell>
          <cell r="B379">
            <v>5500802</v>
          </cell>
          <cell r="C379" t="str">
            <v xml:space="preserve"> BEBAN PERUMAHAN DINAS LISTRIK DAN AIR </v>
          </cell>
          <cell r="D379">
            <v>7393635</v>
          </cell>
          <cell r="E379">
            <v>2584000</v>
          </cell>
          <cell r="F379">
            <v>250000</v>
          </cell>
          <cell r="G379">
            <v>9727635</v>
          </cell>
          <cell r="H379">
            <v>2334000</v>
          </cell>
        </row>
        <row r="380">
          <cell r="A380">
            <v>5500803</v>
          </cell>
          <cell r="B380">
            <v>5500803</v>
          </cell>
          <cell r="C380" t="str">
            <v> BEBAN PERUMAHAN DINAS PREMI ASURANSI RUMAH</v>
          </cell>
          <cell r="D380">
            <v>0</v>
          </cell>
          <cell r="E380">
            <v>490000</v>
          </cell>
          <cell r="F380">
            <v>0</v>
          </cell>
          <cell r="G380">
            <v>490000</v>
          </cell>
          <cell r="H380">
            <v>490000</v>
          </cell>
        </row>
        <row r="381">
          <cell r="A381">
            <v>5500805</v>
          </cell>
          <cell r="B381">
            <v>5500805</v>
          </cell>
          <cell r="C381" t="str">
            <v> BEBAN PERUMAHAN DINAS PEMELIHARAAN DAN PER</v>
          </cell>
          <cell r="D381">
            <v>3185000</v>
          </cell>
          <cell r="E381">
            <v>0</v>
          </cell>
          <cell r="F381">
            <v>0</v>
          </cell>
          <cell r="G381">
            <v>3185000</v>
          </cell>
          <cell r="H381">
            <v>0</v>
          </cell>
        </row>
        <row r="382">
          <cell r="A382">
            <v>5500901</v>
          </cell>
          <cell r="B382">
            <v>5500901</v>
          </cell>
          <cell r="C382" t="str">
            <v> BEBAN PENYUSUTAN AKTIVA TETAP BANGUNAN KAN</v>
          </cell>
          <cell r="D382">
            <v>323766608</v>
          </cell>
          <cell r="E382">
            <v>40264688</v>
          </cell>
          <cell r="F382">
            <v>0</v>
          </cell>
          <cell r="G382">
            <v>364031296</v>
          </cell>
          <cell r="H382">
            <v>40264688</v>
          </cell>
        </row>
        <row r="383">
          <cell r="A383">
            <v>5500903</v>
          </cell>
          <cell r="B383">
            <v>5500903</v>
          </cell>
          <cell r="C383" t="str">
            <v> BEBAN PENYUSUTAN AKTIVA TETAP PERALATAN KA</v>
          </cell>
          <cell r="D383">
            <v>132005836</v>
          </cell>
          <cell r="E383">
            <v>19834336</v>
          </cell>
          <cell r="F383">
            <v>0</v>
          </cell>
          <cell r="G383">
            <v>151840172</v>
          </cell>
          <cell r="H383">
            <v>19834336</v>
          </cell>
        </row>
        <row r="384">
          <cell r="A384">
            <v>5500904</v>
          </cell>
          <cell r="B384">
            <v>5500904</v>
          </cell>
          <cell r="C384" t="str">
            <v xml:space="preserve"> BEBAN PENYUSUTAN AKTIVA TETAP KOMPUTER </v>
          </cell>
          <cell r="D384">
            <v>582755377</v>
          </cell>
          <cell r="E384">
            <v>88810462</v>
          </cell>
          <cell r="F384">
            <v>0</v>
          </cell>
          <cell r="G384">
            <v>671565839</v>
          </cell>
          <cell r="H384">
            <v>88810462</v>
          </cell>
        </row>
        <row r="385">
          <cell r="A385">
            <v>5500905</v>
          </cell>
          <cell r="B385">
            <v>5500905</v>
          </cell>
          <cell r="C385" t="str">
            <v> BEBAN PENYUSUTAN AKTIVA TETAP PERABOT KANT</v>
          </cell>
          <cell r="D385">
            <v>74808693</v>
          </cell>
          <cell r="E385">
            <v>11337320</v>
          </cell>
          <cell r="F385">
            <v>0</v>
          </cell>
          <cell r="G385">
            <v>86146013</v>
          </cell>
          <cell r="H385">
            <v>11337320</v>
          </cell>
        </row>
        <row r="386">
          <cell r="A386">
            <v>5500907</v>
          </cell>
          <cell r="B386">
            <v>5500907</v>
          </cell>
          <cell r="C386" t="str">
            <v xml:space="preserve"> BEBAN PENYUSUTAN AKTIVA TETAP KENDARAAN </v>
          </cell>
          <cell r="D386">
            <v>70534896</v>
          </cell>
          <cell r="E386">
            <v>10104688</v>
          </cell>
          <cell r="F386">
            <v>0</v>
          </cell>
          <cell r="G386">
            <v>80639584</v>
          </cell>
          <cell r="H386">
            <v>10104688</v>
          </cell>
        </row>
        <row r="387">
          <cell r="A387">
            <v>5501101</v>
          </cell>
          <cell r="B387">
            <v>5501101</v>
          </cell>
          <cell r="C387" t="str">
            <v xml:space="preserve"> BEBAN UMUM KANTOR ALAT TULIS KANTOR </v>
          </cell>
          <cell r="D387">
            <v>623436250</v>
          </cell>
          <cell r="E387">
            <v>28855440</v>
          </cell>
          <cell r="F387">
            <v>49500</v>
          </cell>
          <cell r="G387">
            <v>652242190</v>
          </cell>
          <cell r="H387">
            <v>28805940</v>
          </cell>
        </row>
        <row r="388">
          <cell r="A388">
            <v>5501102</v>
          </cell>
          <cell r="B388">
            <v>5501102</v>
          </cell>
          <cell r="C388" t="str">
            <v xml:space="preserve"> BEBAN UMUM KANTOR BARANG CETAKAN </v>
          </cell>
          <cell r="D388">
            <v>713841295</v>
          </cell>
          <cell r="E388">
            <v>13359976</v>
          </cell>
          <cell r="F388">
            <v>60000</v>
          </cell>
          <cell r="G388">
            <v>727141271</v>
          </cell>
          <cell r="H388">
            <v>13299976</v>
          </cell>
        </row>
        <row r="389">
          <cell r="A389">
            <v>5501103</v>
          </cell>
          <cell r="B389">
            <v>5501103</v>
          </cell>
          <cell r="C389" t="str">
            <v xml:space="preserve"> BEBAN UMUM KANTOR METERAI </v>
          </cell>
          <cell r="D389">
            <v>139795500</v>
          </cell>
          <cell r="E389">
            <v>5328500</v>
          </cell>
          <cell r="F389">
            <v>102000</v>
          </cell>
          <cell r="G389">
            <v>145022000</v>
          </cell>
          <cell r="H389">
            <v>5226500</v>
          </cell>
        </row>
        <row r="390">
          <cell r="A390">
            <v>5501104</v>
          </cell>
          <cell r="B390">
            <v>5501104</v>
          </cell>
          <cell r="C390" t="str">
            <v xml:space="preserve"> BEBAN UMUM KANTOR PHOTO COPY </v>
          </cell>
          <cell r="D390">
            <v>67777096</v>
          </cell>
          <cell r="E390">
            <v>8079360</v>
          </cell>
          <cell r="F390">
            <v>34000</v>
          </cell>
          <cell r="G390">
            <v>75822456</v>
          </cell>
          <cell r="H390">
            <v>8045360</v>
          </cell>
        </row>
        <row r="391">
          <cell r="A391">
            <v>5501105</v>
          </cell>
          <cell r="B391">
            <v>5501105</v>
          </cell>
          <cell r="C391" t="str">
            <v xml:space="preserve"> BEBAN UMUM KANTOR DOKUMENTASI </v>
          </cell>
          <cell r="D391">
            <v>44500</v>
          </cell>
          <cell r="E391">
            <v>48000</v>
          </cell>
          <cell r="F391">
            <v>48000</v>
          </cell>
          <cell r="G391">
            <v>44500</v>
          </cell>
          <cell r="H391">
            <v>0</v>
          </cell>
        </row>
        <row r="392">
          <cell r="A392">
            <v>5501106</v>
          </cell>
          <cell r="B392">
            <v>5501106</v>
          </cell>
          <cell r="C392" t="str">
            <v> BEBAN UMUM KANTOR PEMELIHARAAN ALAT KANTOR</v>
          </cell>
          <cell r="D392">
            <v>14122542.5</v>
          </cell>
          <cell r="E392">
            <v>1090950</v>
          </cell>
          <cell r="F392">
            <v>90450</v>
          </cell>
          <cell r="G392">
            <v>15123042.5</v>
          </cell>
          <cell r="H392">
            <v>1000500</v>
          </cell>
        </row>
        <row r="393">
          <cell r="A393">
            <v>5501107</v>
          </cell>
          <cell r="B393">
            <v>5501107</v>
          </cell>
          <cell r="C393" t="str">
            <v xml:space="preserve"> BEBAN UMUM KANTOR KEPERLUAN DAPUR </v>
          </cell>
          <cell r="D393">
            <v>46378124.5</v>
          </cell>
          <cell r="E393">
            <v>4123372.5</v>
          </cell>
          <cell r="F393">
            <v>379100</v>
          </cell>
          <cell r="G393">
            <v>50122397</v>
          </cell>
          <cell r="H393">
            <v>3744272.5</v>
          </cell>
        </row>
        <row r="394">
          <cell r="A394">
            <v>5501108</v>
          </cell>
          <cell r="B394">
            <v>5501108</v>
          </cell>
          <cell r="C394" t="str">
            <v xml:space="preserve"> BEBAN UMUM KANTOR MAJALAH &amp; KORAN </v>
          </cell>
          <cell r="D394">
            <v>49077050</v>
          </cell>
          <cell r="E394">
            <v>2445500</v>
          </cell>
          <cell r="F394">
            <v>60000</v>
          </cell>
          <cell r="G394">
            <v>51462550</v>
          </cell>
          <cell r="H394">
            <v>2385500</v>
          </cell>
        </row>
        <row r="395">
          <cell r="A395">
            <v>5501201</v>
          </cell>
          <cell r="B395">
            <v>5501201</v>
          </cell>
          <cell r="C395" t="str">
            <v xml:space="preserve"> BEBAN KOMUNIKASI TELEPHONE DAN FAX </v>
          </cell>
          <cell r="D395">
            <v>930138419.11000001</v>
          </cell>
          <cell r="E395">
            <v>196447398.50999999</v>
          </cell>
          <cell r="F395">
            <v>7122136.7800000003</v>
          </cell>
          <cell r="G395">
            <v>1119463680.8399999</v>
          </cell>
          <cell r="H395">
            <v>189325261.72999999</v>
          </cell>
        </row>
        <row r="396">
          <cell r="A396">
            <v>5501202</v>
          </cell>
          <cell r="B396">
            <v>5501202</v>
          </cell>
          <cell r="C396" t="str">
            <v xml:space="preserve"> BEBAN KOMUNIKASI POS </v>
          </cell>
          <cell r="D396">
            <v>90382100</v>
          </cell>
          <cell r="E396">
            <v>3817850</v>
          </cell>
          <cell r="F396">
            <v>0</v>
          </cell>
          <cell r="G396">
            <v>94199950</v>
          </cell>
          <cell r="H396">
            <v>3817850</v>
          </cell>
        </row>
        <row r="397">
          <cell r="A397">
            <v>5501203</v>
          </cell>
          <cell r="B397">
            <v>5501203</v>
          </cell>
          <cell r="C397" t="str">
            <v xml:space="preserve"> BEBAN KOMUNIKASI EKSPEDISI </v>
          </cell>
          <cell r="D397">
            <v>255281423.40000001</v>
          </cell>
          <cell r="E397">
            <v>47124319</v>
          </cell>
          <cell r="F397">
            <v>7000</v>
          </cell>
          <cell r="G397">
            <v>302398742.39999998</v>
          </cell>
          <cell r="H397">
            <v>47117319</v>
          </cell>
        </row>
        <row r="398">
          <cell r="A398">
            <v>5501204</v>
          </cell>
          <cell r="B398">
            <v>5501204</v>
          </cell>
          <cell r="C398" t="str">
            <v xml:space="preserve"> BEBAN KOMUNIKASI INTERNET </v>
          </cell>
          <cell r="D398">
            <v>420993500</v>
          </cell>
          <cell r="E398">
            <v>93243150</v>
          </cell>
          <cell r="F398">
            <v>828000</v>
          </cell>
          <cell r="G398">
            <v>513408650</v>
          </cell>
          <cell r="H398">
            <v>92415150</v>
          </cell>
        </row>
        <row r="399">
          <cell r="A399">
            <v>5501205</v>
          </cell>
          <cell r="B399">
            <v>5501205</v>
          </cell>
          <cell r="C399" t="str">
            <v xml:space="preserve"> BEBAN KOMUNIKASI LAIN-LAIN </v>
          </cell>
          <cell r="D399">
            <v>23041335</v>
          </cell>
          <cell r="E399">
            <v>933360</v>
          </cell>
          <cell r="F399">
            <v>51000</v>
          </cell>
          <cell r="G399">
            <v>23923695</v>
          </cell>
          <cell r="H399">
            <v>882360</v>
          </cell>
        </row>
        <row r="400">
          <cell r="A400">
            <v>5501206</v>
          </cell>
          <cell r="B400">
            <v>5501206</v>
          </cell>
          <cell r="C400" t="str">
            <v xml:space="preserve"> BEBAN KOMUNIKASI PENAGIHAN </v>
          </cell>
          <cell r="D400">
            <v>21684625</v>
          </cell>
          <cell r="E400">
            <v>4238250</v>
          </cell>
          <cell r="F400">
            <v>0</v>
          </cell>
          <cell r="G400">
            <v>25922875</v>
          </cell>
          <cell r="H400">
            <v>4238250</v>
          </cell>
        </row>
        <row r="401">
          <cell r="A401">
            <v>5501301</v>
          </cell>
          <cell r="B401">
            <v>5501301</v>
          </cell>
          <cell r="C401" t="str">
            <v> BEBAN TRANSPORTASI DAN KENDARAAN BBM DAN O</v>
          </cell>
          <cell r="D401">
            <v>64829582</v>
          </cell>
          <cell r="E401">
            <v>7382563</v>
          </cell>
          <cell r="F401">
            <v>100000</v>
          </cell>
          <cell r="G401">
            <v>72112145</v>
          </cell>
          <cell r="H401">
            <v>7282563</v>
          </cell>
        </row>
        <row r="402">
          <cell r="A402">
            <v>5501302</v>
          </cell>
          <cell r="B402">
            <v>5501302</v>
          </cell>
          <cell r="C402" t="str">
            <v xml:space="preserve"> BEBAN TRANSPORTASI DAN KENDARAAN PREMI AS </v>
          </cell>
          <cell r="D402">
            <v>4708850</v>
          </cell>
          <cell r="E402">
            <v>740000</v>
          </cell>
          <cell r="F402">
            <v>0</v>
          </cell>
          <cell r="G402">
            <v>5448850</v>
          </cell>
          <cell r="H402">
            <v>740000</v>
          </cell>
        </row>
        <row r="403">
          <cell r="A403">
            <v>5501303</v>
          </cell>
          <cell r="B403">
            <v>5501303</v>
          </cell>
          <cell r="C403" t="str">
            <v> BEBAN TRANSPORTASI DAN KENDARAAN PMLHR &amp; S</v>
          </cell>
          <cell r="D403">
            <v>25974516</v>
          </cell>
          <cell r="E403">
            <v>152000</v>
          </cell>
          <cell r="F403">
            <v>0</v>
          </cell>
          <cell r="G403">
            <v>26126516</v>
          </cell>
          <cell r="H403">
            <v>152000</v>
          </cell>
        </row>
        <row r="404">
          <cell r="A404">
            <v>5501304</v>
          </cell>
          <cell r="B404">
            <v>5501304</v>
          </cell>
          <cell r="C404" t="str">
            <v> BEBAN TRANSPORTASI DAN KENDARAAN PAJAK KEN</v>
          </cell>
          <cell r="D404">
            <v>2599999.34</v>
          </cell>
          <cell r="E404">
            <v>316667</v>
          </cell>
          <cell r="F404">
            <v>0</v>
          </cell>
          <cell r="G404">
            <v>2916666.34</v>
          </cell>
          <cell r="H404">
            <v>316667</v>
          </cell>
        </row>
        <row r="405">
          <cell r="A405">
            <v>5501305</v>
          </cell>
          <cell r="B405">
            <v>5501305</v>
          </cell>
          <cell r="C405" t="str">
            <v> BEBAN TRANSPORTASI DAN KENDARAAN PARKIR DA</v>
          </cell>
          <cell r="D405">
            <v>17122503</v>
          </cell>
          <cell r="E405">
            <v>1764300</v>
          </cell>
          <cell r="F405">
            <v>57500</v>
          </cell>
          <cell r="G405">
            <v>18829303</v>
          </cell>
          <cell r="H405">
            <v>1706800</v>
          </cell>
        </row>
        <row r="406">
          <cell r="A406">
            <v>5501306</v>
          </cell>
          <cell r="B406">
            <v>5501306</v>
          </cell>
          <cell r="C406" t="str">
            <v> BEBAN TRANSPORTASI DAN KENDARAAN SEWA MOBI</v>
          </cell>
          <cell r="D406">
            <v>600000</v>
          </cell>
          <cell r="E406">
            <v>0</v>
          </cell>
          <cell r="F406">
            <v>0</v>
          </cell>
          <cell r="G406">
            <v>600000</v>
          </cell>
          <cell r="H406">
            <v>0</v>
          </cell>
        </row>
        <row r="407">
          <cell r="A407">
            <v>5501307</v>
          </cell>
          <cell r="B407">
            <v>5501307</v>
          </cell>
          <cell r="C407" t="str">
            <v> BEBAN TRANSPORTASI DAN KENDARAAN TRANSPORT</v>
          </cell>
          <cell r="D407">
            <v>102884728</v>
          </cell>
          <cell r="E407">
            <v>8247700</v>
          </cell>
          <cell r="F407">
            <v>12500</v>
          </cell>
          <cell r="G407">
            <v>111119928</v>
          </cell>
          <cell r="H407">
            <v>8235200</v>
          </cell>
        </row>
        <row r="408">
          <cell r="A408">
            <v>5501308</v>
          </cell>
          <cell r="B408">
            <v>5501308</v>
          </cell>
          <cell r="C408" t="str">
            <v xml:space="preserve"> BEBAN ASURANSI PREMI UANG PRJLN </v>
          </cell>
          <cell r="D408">
            <v>12341786</v>
          </cell>
          <cell r="E408">
            <v>0</v>
          </cell>
          <cell r="F408">
            <v>0</v>
          </cell>
          <cell r="G408">
            <v>12341786</v>
          </cell>
          <cell r="H408">
            <v>0</v>
          </cell>
        </row>
        <row r="409">
          <cell r="A409">
            <v>5501401</v>
          </cell>
          <cell r="B409">
            <v>5501401</v>
          </cell>
          <cell r="C409" t="str">
            <v xml:space="preserve"> BEBAN KOMPUTER PERANGKAT LUNAK </v>
          </cell>
          <cell r="D409">
            <v>738600</v>
          </cell>
          <cell r="E409">
            <v>285000</v>
          </cell>
          <cell r="F409">
            <v>0</v>
          </cell>
          <cell r="G409">
            <v>1023600</v>
          </cell>
          <cell r="H409">
            <v>285000</v>
          </cell>
        </row>
        <row r="410">
          <cell r="A410">
            <v>5501402</v>
          </cell>
          <cell r="B410">
            <v>5501402</v>
          </cell>
          <cell r="C410" t="str">
            <v xml:space="preserve"> BEBAN KOMPUTER PERLENGKAPAN KOMPUTER </v>
          </cell>
          <cell r="D410">
            <v>79717016</v>
          </cell>
          <cell r="E410">
            <v>4343000</v>
          </cell>
          <cell r="F410">
            <v>927000</v>
          </cell>
          <cell r="G410">
            <v>83133016</v>
          </cell>
          <cell r="H410">
            <v>3416000</v>
          </cell>
        </row>
        <row r="411">
          <cell r="A411">
            <v>5501403</v>
          </cell>
          <cell r="B411">
            <v>5501403</v>
          </cell>
          <cell r="C411" t="str">
            <v xml:space="preserve"> BEBAN KOMPUTER PEMELIHARAAN KOMPUTER </v>
          </cell>
          <cell r="D411">
            <v>13525500</v>
          </cell>
          <cell r="E411">
            <v>1880000</v>
          </cell>
          <cell r="F411">
            <v>300000</v>
          </cell>
          <cell r="G411">
            <v>15105500</v>
          </cell>
          <cell r="H411">
            <v>1580000</v>
          </cell>
        </row>
        <row r="412">
          <cell r="A412">
            <v>5501404</v>
          </cell>
          <cell r="B412">
            <v>5501404</v>
          </cell>
          <cell r="C412" t="str">
            <v xml:space="preserve"> BIAYA INVESTASI DPS </v>
          </cell>
          <cell r="D412">
            <v>22257871.02</v>
          </cell>
          <cell r="E412">
            <v>0</v>
          </cell>
          <cell r="F412">
            <v>0</v>
          </cell>
          <cell r="G412">
            <v>22257871.02</v>
          </cell>
          <cell r="H412">
            <v>0</v>
          </cell>
        </row>
        <row r="413">
          <cell r="A413">
            <v>5501405</v>
          </cell>
          <cell r="B413">
            <v>5501405</v>
          </cell>
          <cell r="C413" t="str">
            <v xml:space="preserve"> BEBAN LAIN-LAIN KONSULTAN - DIRECT INV </v>
          </cell>
          <cell r="D413">
            <v>73704895</v>
          </cell>
          <cell r="E413">
            <v>2406850</v>
          </cell>
          <cell r="F413">
            <v>0</v>
          </cell>
          <cell r="G413">
            <v>76111745</v>
          </cell>
          <cell r="H413">
            <v>2406850</v>
          </cell>
        </row>
        <row r="414">
          <cell r="A414">
            <v>5501406</v>
          </cell>
          <cell r="B414">
            <v>5501406</v>
          </cell>
          <cell r="C414" t="str">
            <v xml:space="preserve"> BIAYA PERLENGKAPAN KANTOR </v>
          </cell>
          <cell r="D414">
            <v>1782190</v>
          </cell>
          <cell r="E414">
            <v>176200</v>
          </cell>
          <cell r="F414">
            <v>0</v>
          </cell>
          <cell r="G414">
            <v>1958390</v>
          </cell>
          <cell r="H414">
            <v>176200</v>
          </cell>
        </row>
        <row r="415">
          <cell r="A415">
            <v>5501501</v>
          </cell>
          <cell r="B415">
            <v>5501501</v>
          </cell>
          <cell r="C415" t="str">
            <v xml:space="preserve"> BIAYA ADMINISTRASI BANK DPS </v>
          </cell>
          <cell r="D415">
            <v>90487484.340000004</v>
          </cell>
          <cell r="E415">
            <v>2449726.02</v>
          </cell>
          <cell r="F415">
            <v>202135.59</v>
          </cell>
          <cell r="G415">
            <v>92735074.769999996</v>
          </cell>
          <cell r="H415">
            <v>2247590.4300000002</v>
          </cell>
        </row>
        <row r="416">
          <cell r="A416">
            <v>5501502</v>
          </cell>
          <cell r="B416">
            <v>5501502</v>
          </cell>
          <cell r="C416" t="str">
            <v xml:space="preserve"> BIAYA ADMINISTRASI BANK DPT </v>
          </cell>
          <cell r="D416">
            <v>50498798.140000001</v>
          </cell>
          <cell r="E416">
            <v>8125467.21</v>
          </cell>
          <cell r="F416">
            <v>76694.38</v>
          </cell>
          <cell r="G416">
            <v>58547570.969999999</v>
          </cell>
          <cell r="H416">
            <v>8048772.8300000001</v>
          </cell>
        </row>
        <row r="417">
          <cell r="A417">
            <v>5501503</v>
          </cell>
          <cell r="B417">
            <v>5501503</v>
          </cell>
          <cell r="C417" t="str">
            <v xml:space="preserve"> BIAYA ADMINISTRASI BANK DPT $ </v>
          </cell>
          <cell r="D417">
            <v>11284893.869999999</v>
          </cell>
          <cell r="E417">
            <v>1356576.36</v>
          </cell>
          <cell r="F417">
            <v>0</v>
          </cell>
          <cell r="G417">
            <v>12641470.23</v>
          </cell>
          <cell r="H417">
            <v>1356576.36</v>
          </cell>
        </row>
        <row r="418">
          <cell r="A418">
            <v>5501504</v>
          </cell>
          <cell r="B418">
            <v>5501504</v>
          </cell>
          <cell r="C418" t="str">
            <v xml:space="preserve"> BIAYA ADMINISTRASI BANK CUSTODY </v>
          </cell>
          <cell r="D418">
            <v>136400</v>
          </cell>
          <cell r="E418">
            <v>132000</v>
          </cell>
          <cell r="F418">
            <v>0</v>
          </cell>
          <cell r="G418">
            <v>268400</v>
          </cell>
          <cell r="H418">
            <v>132000</v>
          </cell>
        </row>
        <row r="419">
          <cell r="A419">
            <v>5510406</v>
          </cell>
          <cell r="B419">
            <v>5510406</v>
          </cell>
          <cell r="C419" t="str">
            <v xml:space="preserve"> BIAYA INVESTASI DPT </v>
          </cell>
          <cell r="D419">
            <v>65761500</v>
          </cell>
          <cell r="E419">
            <v>5000</v>
          </cell>
          <cell r="F419">
            <v>0</v>
          </cell>
          <cell r="G419">
            <v>65766500</v>
          </cell>
          <cell r="H419">
            <v>5000</v>
          </cell>
        </row>
        <row r="420">
          <cell r="A420">
            <v>5510408</v>
          </cell>
          <cell r="B420">
            <v>5510408</v>
          </cell>
          <cell r="C420" t="str">
            <v xml:space="preserve"> BIAYA INVESTASI DPT - MANAGEMENT FEE </v>
          </cell>
          <cell r="D420">
            <v>57140982.380000003</v>
          </cell>
          <cell r="E420">
            <v>0</v>
          </cell>
          <cell r="F420">
            <v>0</v>
          </cell>
          <cell r="G420">
            <v>57140982.380000003</v>
          </cell>
          <cell r="H420">
            <v>0</v>
          </cell>
        </row>
        <row r="421">
          <cell r="A421">
            <v>5510409</v>
          </cell>
          <cell r="B421">
            <v>5510409</v>
          </cell>
          <cell r="C421" t="str">
            <v xml:space="preserve"> BIAYA INVESTASI DPT - CUSTODIAN FEE </v>
          </cell>
          <cell r="D421">
            <v>39462140.130000003</v>
          </cell>
          <cell r="E421">
            <v>0</v>
          </cell>
          <cell r="F421">
            <v>0</v>
          </cell>
          <cell r="G421">
            <v>39462140.130000003</v>
          </cell>
          <cell r="H421">
            <v>0</v>
          </cell>
        </row>
        <row r="422">
          <cell r="A422">
            <v>5900101</v>
          </cell>
          <cell r="B422">
            <v>5900101</v>
          </cell>
          <cell r="C422" t="str">
            <v xml:space="preserve"> HASIL LAIN-LAIN JASA GIRO DPS </v>
          </cell>
          <cell r="D422">
            <v>-9562181.2799999993</v>
          </cell>
          <cell r="E422">
            <v>1255.94</v>
          </cell>
          <cell r="F422">
            <v>179858.1</v>
          </cell>
          <cell r="G422">
            <v>-9740783.4399999995</v>
          </cell>
          <cell r="H422">
            <v>-178602.16</v>
          </cell>
        </row>
        <row r="423">
          <cell r="A423">
            <v>5900102</v>
          </cell>
          <cell r="B423">
            <v>5900102</v>
          </cell>
          <cell r="C423" t="str">
            <v> HASIL LAIN-LAIN LABA PELEPASAN AKTIVA TETA</v>
          </cell>
          <cell r="D423">
            <v>-5710000</v>
          </cell>
          <cell r="E423">
            <v>0</v>
          </cell>
          <cell r="F423">
            <v>0</v>
          </cell>
          <cell r="G423">
            <v>-5710000</v>
          </cell>
          <cell r="H423">
            <v>0</v>
          </cell>
        </row>
        <row r="424">
          <cell r="A424">
            <v>5900104</v>
          </cell>
          <cell r="B424">
            <v>5900104</v>
          </cell>
          <cell r="C424" t="str">
            <v> HASIL LAIN-LAIN LABA SELISIH KURS NON INVE</v>
          </cell>
          <cell r="D424">
            <v>-143674.56</v>
          </cell>
          <cell r="E424">
            <v>0</v>
          </cell>
          <cell r="F424">
            <v>87858.59</v>
          </cell>
          <cell r="G424">
            <v>-231533.15</v>
          </cell>
          <cell r="H424">
            <v>-87858.59</v>
          </cell>
        </row>
        <row r="425">
          <cell r="A425">
            <v>5900105</v>
          </cell>
          <cell r="B425">
            <v>5900105</v>
          </cell>
          <cell r="C425" t="str">
            <v> HASIL LAIN-LAIN HASIL INVESTASI DPT RUPIAH</v>
          </cell>
          <cell r="D425">
            <v>-119585.47</v>
          </cell>
          <cell r="E425">
            <v>3718.45</v>
          </cell>
          <cell r="F425">
            <v>29570.240000000002</v>
          </cell>
          <cell r="G425">
            <v>-145437.26</v>
          </cell>
          <cell r="H425">
            <v>-25851.79</v>
          </cell>
        </row>
        <row r="426">
          <cell r="A426">
            <v>5900107</v>
          </cell>
          <cell r="B426">
            <v>5900107</v>
          </cell>
          <cell r="C426" t="str">
            <v xml:space="preserve"> HASIL LAIN-LAIN HASIL INVESTASI DPS </v>
          </cell>
          <cell r="D426">
            <v>-15327</v>
          </cell>
          <cell r="E426">
            <v>0</v>
          </cell>
          <cell r="F426">
            <v>0</v>
          </cell>
          <cell r="G426">
            <v>-15327</v>
          </cell>
          <cell r="H426">
            <v>0</v>
          </cell>
        </row>
        <row r="427">
          <cell r="A427">
            <v>5900109</v>
          </cell>
          <cell r="B427">
            <v>5900109</v>
          </cell>
          <cell r="C427" t="str">
            <v xml:space="preserve"> HASIL LAIN-LAIN JASA GIRO DPT Rp </v>
          </cell>
          <cell r="D427">
            <v>-58169052.18</v>
          </cell>
          <cell r="E427">
            <v>1207813.3</v>
          </cell>
          <cell r="F427">
            <v>8770516.6799999997</v>
          </cell>
          <cell r="G427">
            <v>-65731755.560000002</v>
          </cell>
          <cell r="H427">
            <v>-7562703.3799999999</v>
          </cell>
        </row>
        <row r="428">
          <cell r="A428">
            <v>5900111</v>
          </cell>
          <cell r="B428">
            <v>5900111</v>
          </cell>
          <cell r="C428" t="str">
            <v xml:space="preserve"> HASIL LAIN-LAIN MANAGEMENT FEE </v>
          </cell>
          <cell r="D428">
            <v>-585836500.46000004</v>
          </cell>
          <cell r="E428">
            <v>0</v>
          </cell>
          <cell r="F428">
            <v>100528481.44</v>
          </cell>
          <cell r="G428">
            <v>-686364981.89999998</v>
          </cell>
          <cell r="H428">
            <v>-100528481.44</v>
          </cell>
        </row>
        <row r="429">
          <cell r="A429">
            <v>5900202</v>
          </cell>
          <cell r="B429">
            <v>5900202</v>
          </cell>
          <cell r="C429" t="str">
            <v> BEBAN LAIN-LAIN RUGI SELISIH KURS NON INVE</v>
          </cell>
          <cell r="D429">
            <v>368227339.30000001</v>
          </cell>
          <cell r="E429">
            <v>0</v>
          </cell>
          <cell r="F429">
            <v>0</v>
          </cell>
          <cell r="G429">
            <v>368227339.30000001</v>
          </cell>
          <cell r="H429">
            <v>0</v>
          </cell>
        </row>
        <row r="430">
          <cell r="A430">
            <v>5900203</v>
          </cell>
          <cell r="B430">
            <v>5900203</v>
          </cell>
          <cell r="C430" t="str">
            <v xml:space="preserve"> BEBAN LAIN-LAIN PENGHAPUSAN PIUTANG LAIN </v>
          </cell>
          <cell r="D430">
            <v>150000000</v>
          </cell>
          <cell r="E430">
            <v>0</v>
          </cell>
          <cell r="F430">
            <v>0</v>
          </cell>
          <cell r="G430">
            <v>150000000</v>
          </cell>
          <cell r="H430">
            <v>0</v>
          </cell>
        </row>
        <row r="431">
          <cell r="A431">
            <v>5900206</v>
          </cell>
          <cell r="B431">
            <v>5900206</v>
          </cell>
          <cell r="C431" t="str">
            <v xml:space="preserve"> BEBAN LAIN-LAIN SELISIH PEMBAYARAN </v>
          </cell>
          <cell r="D431">
            <v>-890</v>
          </cell>
          <cell r="E431">
            <v>0</v>
          </cell>
          <cell r="F431">
            <v>0</v>
          </cell>
          <cell r="G431">
            <v>-890</v>
          </cell>
          <cell r="H431">
            <v>0</v>
          </cell>
        </row>
        <row r="432">
          <cell r="A432">
            <v>5900207</v>
          </cell>
          <cell r="B432">
            <v>5900207</v>
          </cell>
          <cell r="C432" t="str">
            <v xml:space="preserve"> BEBAN LAIN-LAIN PENGGELAPAN PREMI </v>
          </cell>
          <cell r="D432">
            <v>398530</v>
          </cell>
          <cell r="E432">
            <v>0</v>
          </cell>
          <cell r="F432">
            <v>0</v>
          </cell>
          <cell r="G432">
            <v>398530</v>
          </cell>
          <cell r="H432">
            <v>0</v>
          </cell>
        </row>
        <row r="433">
          <cell r="A433">
            <v>5900209</v>
          </cell>
          <cell r="B433">
            <v>5900209</v>
          </cell>
          <cell r="C433" t="str">
            <v xml:space="preserve"> BEBAN PAJAK </v>
          </cell>
          <cell r="D433">
            <v>34891067</v>
          </cell>
          <cell r="E433">
            <v>0</v>
          </cell>
          <cell r="F433">
            <v>0</v>
          </cell>
          <cell r="G433">
            <v>34891067</v>
          </cell>
          <cell r="H433">
            <v>0</v>
          </cell>
        </row>
        <row r="434">
          <cell r="A434">
            <v>6010101</v>
          </cell>
          <cell r="B434">
            <v>6010101</v>
          </cell>
          <cell r="C434" t="str">
            <v xml:space="preserve"> REKENING ANTAR KANTOR KANTOR PUSAT (DPS) </v>
          </cell>
          <cell r="D434">
            <v>-0.03</v>
          </cell>
          <cell r="E434">
            <v>200000</v>
          </cell>
          <cell r="F434">
            <v>200000</v>
          </cell>
          <cell r="G434">
            <v>-0.03</v>
          </cell>
          <cell r="H434">
            <v>0</v>
          </cell>
        </row>
        <row r="435">
          <cell r="A435">
            <v>6010103</v>
          </cell>
          <cell r="B435">
            <v>6010103</v>
          </cell>
          <cell r="C435" t="str">
            <v> REKENING ANTAR KANTOR DKI 1 GANDARIA (DPS)</v>
          </cell>
          <cell r="D435">
            <v>0.2</v>
          </cell>
          <cell r="E435">
            <v>37411296.600000001</v>
          </cell>
          <cell r="F435">
            <v>37411296.600000001</v>
          </cell>
          <cell r="G435">
            <v>0.2</v>
          </cell>
          <cell r="H435">
            <v>0</v>
          </cell>
        </row>
        <row r="436">
          <cell r="A436">
            <v>6010104</v>
          </cell>
          <cell r="B436">
            <v>6010104</v>
          </cell>
          <cell r="C436" t="str">
            <v xml:space="preserve"> REKENING ANTAR KANTOR DKI 2 SLIPI (DPS) </v>
          </cell>
          <cell r="D436">
            <v>0.28000000000000003</v>
          </cell>
          <cell r="E436">
            <v>16927086.800000001</v>
          </cell>
          <cell r="F436">
            <v>16927086.800000001</v>
          </cell>
          <cell r="G436">
            <v>0.28000000000000003</v>
          </cell>
          <cell r="H436">
            <v>0</v>
          </cell>
        </row>
        <row r="437">
          <cell r="A437">
            <v>6010105</v>
          </cell>
          <cell r="B437">
            <v>6010105</v>
          </cell>
          <cell r="C437" t="str">
            <v> REKENING ANTAR KANTOR DKI 3 UTAN KAYU (DPS</v>
          </cell>
          <cell r="D437">
            <v>0.08</v>
          </cell>
          <cell r="E437">
            <v>11047976.48</v>
          </cell>
          <cell r="F437">
            <v>11047976.48</v>
          </cell>
          <cell r="G437">
            <v>0.08</v>
          </cell>
          <cell r="H437">
            <v>0</v>
          </cell>
        </row>
        <row r="438">
          <cell r="A438">
            <v>6010106</v>
          </cell>
          <cell r="B438">
            <v>6010106</v>
          </cell>
          <cell r="C438" t="str">
            <v xml:space="preserve"> REKENING ANTAR KANTOR BOGOR (DPS) </v>
          </cell>
          <cell r="D438">
            <v>1.24</v>
          </cell>
          <cell r="E438">
            <v>17037556.199999999</v>
          </cell>
          <cell r="F438">
            <v>17037556.199999999</v>
          </cell>
          <cell r="G438">
            <v>1.24</v>
          </cell>
          <cell r="H438">
            <v>0</v>
          </cell>
        </row>
        <row r="439">
          <cell r="A439">
            <v>6010107</v>
          </cell>
          <cell r="B439">
            <v>6010107</v>
          </cell>
          <cell r="C439" t="str">
            <v xml:space="preserve"> REKENING ANTAR KANTOR SERANG (DPS) </v>
          </cell>
          <cell r="D439">
            <v>-0.48</v>
          </cell>
          <cell r="E439">
            <v>9404303.6400000006</v>
          </cell>
          <cell r="F439">
            <v>9404303.6400000006</v>
          </cell>
          <cell r="G439">
            <v>-0.48</v>
          </cell>
          <cell r="H439">
            <v>0</v>
          </cell>
        </row>
        <row r="440">
          <cell r="A440">
            <v>6010108</v>
          </cell>
          <cell r="B440">
            <v>6010108</v>
          </cell>
          <cell r="C440" t="str">
            <v xml:space="preserve"> REKENING ANTAR KANTOR DEPOK (DPS) </v>
          </cell>
          <cell r="D440">
            <v>-0.26</v>
          </cell>
          <cell r="E440">
            <v>11404841</v>
          </cell>
          <cell r="F440">
            <v>11404841</v>
          </cell>
          <cell r="G440">
            <v>-0.26</v>
          </cell>
          <cell r="H440">
            <v>0</v>
          </cell>
        </row>
        <row r="441">
          <cell r="A441">
            <v>6010109</v>
          </cell>
          <cell r="B441">
            <v>6010109</v>
          </cell>
          <cell r="C441" t="str">
            <v xml:space="preserve"> REKENING ANTAR KANTOR TANGERANG (DPS) </v>
          </cell>
          <cell r="D441">
            <v>-0.12</v>
          </cell>
          <cell r="E441">
            <v>13499819.609999999</v>
          </cell>
          <cell r="F441">
            <v>13499819.609999999</v>
          </cell>
          <cell r="G441">
            <v>-0.12</v>
          </cell>
          <cell r="H441">
            <v>0</v>
          </cell>
        </row>
        <row r="442">
          <cell r="A442">
            <v>6010111</v>
          </cell>
          <cell r="B442">
            <v>6010111</v>
          </cell>
          <cell r="C442" t="str">
            <v xml:space="preserve"> REKENING ANTAR KANTOR BEKASI (DPS) </v>
          </cell>
          <cell r="D442">
            <v>0.99</v>
          </cell>
          <cell r="E442">
            <v>13172775.49</v>
          </cell>
          <cell r="F442">
            <v>13172775.49</v>
          </cell>
          <cell r="G442">
            <v>0.99</v>
          </cell>
          <cell r="H442">
            <v>0</v>
          </cell>
        </row>
        <row r="443">
          <cell r="A443">
            <v>6010115</v>
          </cell>
          <cell r="B443">
            <v>6010115</v>
          </cell>
          <cell r="C443" t="str">
            <v> REKENING ANTAR KANTOR DKI 6 PONDOK INDAH (</v>
          </cell>
          <cell r="D443">
            <v>0.21</v>
          </cell>
          <cell r="E443">
            <v>8607802.6699999999</v>
          </cell>
          <cell r="F443">
            <v>8607802.6699999999</v>
          </cell>
          <cell r="G443">
            <v>0.21</v>
          </cell>
          <cell r="H443">
            <v>0</v>
          </cell>
        </row>
        <row r="444">
          <cell r="A444">
            <v>6010117</v>
          </cell>
          <cell r="B444">
            <v>6010117</v>
          </cell>
          <cell r="C444" t="str">
            <v xml:space="preserve"> REKENING ANTAR KANTOR BANDUNG (DPS) </v>
          </cell>
          <cell r="D444">
            <v>0.9</v>
          </cell>
          <cell r="E444">
            <v>76806513.400000006</v>
          </cell>
          <cell r="F444">
            <v>76806513.400000006</v>
          </cell>
          <cell r="G444">
            <v>0.9</v>
          </cell>
          <cell r="H444">
            <v>0</v>
          </cell>
        </row>
        <row r="445">
          <cell r="A445">
            <v>6010118</v>
          </cell>
          <cell r="B445">
            <v>6010118</v>
          </cell>
          <cell r="C445" t="str">
            <v xml:space="preserve"> REKENING ANTAR KANTOR CIREBON (DPS) </v>
          </cell>
          <cell r="D445">
            <v>-0.36</v>
          </cell>
          <cell r="E445">
            <v>4146546</v>
          </cell>
          <cell r="F445">
            <v>4146546</v>
          </cell>
          <cell r="G445">
            <v>-0.36</v>
          </cell>
          <cell r="H445">
            <v>0</v>
          </cell>
        </row>
        <row r="446">
          <cell r="A446">
            <v>6010119</v>
          </cell>
          <cell r="B446">
            <v>6010119</v>
          </cell>
          <cell r="C446" t="str">
            <v xml:space="preserve"> REKENING ANTAR KANTOR SEMARANG (DPS) </v>
          </cell>
          <cell r="D446">
            <v>0.21</v>
          </cell>
          <cell r="E446">
            <v>7498329.4400000004</v>
          </cell>
          <cell r="F446">
            <v>7498329.4400000004</v>
          </cell>
          <cell r="G446">
            <v>0.21</v>
          </cell>
          <cell r="H446">
            <v>0</v>
          </cell>
        </row>
        <row r="447">
          <cell r="A447">
            <v>6010120</v>
          </cell>
          <cell r="B447">
            <v>6010120</v>
          </cell>
          <cell r="C447" t="str">
            <v xml:space="preserve"> REKENING ANTAR KANTOR SOLO (DPS) </v>
          </cell>
          <cell r="D447">
            <v>0</v>
          </cell>
          <cell r="E447">
            <v>3147415</v>
          </cell>
          <cell r="F447">
            <v>3147415</v>
          </cell>
          <cell r="G447">
            <v>0</v>
          </cell>
          <cell r="H447">
            <v>0</v>
          </cell>
        </row>
        <row r="448">
          <cell r="A448">
            <v>6010121</v>
          </cell>
          <cell r="B448">
            <v>6010121</v>
          </cell>
          <cell r="C448" t="str">
            <v xml:space="preserve"> REKENING ANTAR KANTOR YOGYAKARTA (DPS) </v>
          </cell>
          <cell r="D448">
            <v>0.43</v>
          </cell>
          <cell r="E448">
            <v>19712435.350000001</v>
          </cell>
          <cell r="F448">
            <v>19712435.350000001</v>
          </cell>
          <cell r="G448">
            <v>0.43</v>
          </cell>
          <cell r="H448">
            <v>0</v>
          </cell>
        </row>
        <row r="449">
          <cell r="A449">
            <v>6010122</v>
          </cell>
          <cell r="B449">
            <v>6010122</v>
          </cell>
          <cell r="C449" t="str">
            <v xml:space="preserve"> REKENING ANTAR KANTOR SURABAYA 1 (DPS) </v>
          </cell>
          <cell r="D449">
            <v>1.84</v>
          </cell>
          <cell r="E449">
            <v>21673629.870000001</v>
          </cell>
          <cell r="F449">
            <v>21673629.870000001</v>
          </cell>
          <cell r="G449">
            <v>1.84</v>
          </cell>
          <cell r="H449">
            <v>0</v>
          </cell>
        </row>
        <row r="450">
          <cell r="A450">
            <v>6010124</v>
          </cell>
          <cell r="B450">
            <v>6010124</v>
          </cell>
          <cell r="C450" t="str">
            <v xml:space="preserve"> REKENING ANTAR KANTOR MALANG (DPS) </v>
          </cell>
          <cell r="D450">
            <v>0</v>
          </cell>
          <cell r="E450">
            <v>6146538</v>
          </cell>
          <cell r="F450">
            <v>6146538</v>
          </cell>
          <cell r="G450">
            <v>0</v>
          </cell>
          <cell r="H450">
            <v>0</v>
          </cell>
        </row>
        <row r="451">
          <cell r="A451">
            <v>6010125</v>
          </cell>
          <cell r="B451">
            <v>6010125</v>
          </cell>
          <cell r="C451" t="str">
            <v xml:space="preserve"> REKENING ANTAR KANTOR ACEH (DPS) </v>
          </cell>
          <cell r="D451">
            <v>-0.06</v>
          </cell>
          <cell r="E451">
            <v>1764721</v>
          </cell>
          <cell r="F451">
            <v>1764721</v>
          </cell>
          <cell r="G451">
            <v>-0.06</v>
          </cell>
          <cell r="H451">
            <v>0</v>
          </cell>
        </row>
        <row r="452">
          <cell r="A452">
            <v>6010126</v>
          </cell>
          <cell r="B452">
            <v>6010126</v>
          </cell>
          <cell r="C452" t="str">
            <v xml:space="preserve"> REKENING ANTAR KANTOR LHOKSUMAWE (DPS) </v>
          </cell>
          <cell r="D452">
            <v>0.55000000000000004</v>
          </cell>
          <cell r="E452">
            <v>14673647</v>
          </cell>
          <cell r="F452">
            <v>14673647</v>
          </cell>
          <cell r="G452">
            <v>0.55000000000000004</v>
          </cell>
          <cell r="H452">
            <v>0</v>
          </cell>
        </row>
        <row r="453">
          <cell r="A453">
            <v>6010127</v>
          </cell>
          <cell r="B453">
            <v>6010127</v>
          </cell>
          <cell r="C453" t="str">
            <v xml:space="preserve"> REKENING ANTAR KANTOR MEDAN (DPS) </v>
          </cell>
          <cell r="D453">
            <v>-8.18</v>
          </cell>
          <cell r="E453">
            <v>17464780.989999998</v>
          </cell>
          <cell r="F453">
            <v>17464780.989999998</v>
          </cell>
          <cell r="G453">
            <v>-8.18</v>
          </cell>
          <cell r="H453">
            <v>0</v>
          </cell>
        </row>
        <row r="454">
          <cell r="A454">
            <v>6010128</v>
          </cell>
          <cell r="B454">
            <v>6010128</v>
          </cell>
          <cell r="C454" t="str">
            <v xml:space="preserve"> REKENING ANTAR KANTOR PADANG (DPS) </v>
          </cell>
          <cell r="D454">
            <v>0</v>
          </cell>
          <cell r="E454">
            <v>19178136.739999998</v>
          </cell>
          <cell r="F454">
            <v>19178136.739999998</v>
          </cell>
          <cell r="G454">
            <v>0</v>
          </cell>
          <cell r="H454">
            <v>0</v>
          </cell>
        </row>
        <row r="455">
          <cell r="A455">
            <v>6010129</v>
          </cell>
          <cell r="B455">
            <v>6010129</v>
          </cell>
          <cell r="C455" t="str">
            <v xml:space="preserve"> REKENING ANTAR KANTOR PALEMBANG (DPS) </v>
          </cell>
          <cell r="D455">
            <v>-2</v>
          </cell>
          <cell r="E455">
            <v>5355613</v>
          </cell>
          <cell r="F455">
            <v>5355613</v>
          </cell>
          <cell r="G455">
            <v>-2</v>
          </cell>
          <cell r="H455">
            <v>0</v>
          </cell>
        </row>
        <row r="456">
          <cell r="A456">
            <v>6010130</v>
          </cell>
          <cell r="B456">
            <v>6010130</v>
          </cell>
          <cell r="C456" t="str">
            <v xml:space="preserve"> REKENING ANTAR KANTOR JAMBI (DPS) </v>
          </cell>
          <cell r="D456">
            <v>0</v>
          </cell>
          <cell r="E456">
            <v>7257922</v>
          </cell>
          <cell r="F456">
            <v>7257922</v>
          </cell>
          <cell r="G456">
            <v>0</v>
          </cell>
          <cell r="H456">
            <v>0</v>
          </cell>
        </row>
        <row r="457">
          <cell r="A457">
            <v>6010131</v>
          </cell>
          <cell r="B457">
            <v>6010131</v>
          </cell>
          <cell r="C457" t="str">
            <v xml:space="preserve"> REKENING ANTAR KANTOR PEKAN BARU (DPS) </v>
          </cell>
          <cell r="D457">
            <v>-0.23</v>
          </cell>
          <cell r="E457">
            <v>370000</v>
          </cell>
          <cell r="F457">
            <v>370000</v>
          </cell>
          <cell r="G457">
            <v>-0.23</v>
          </cell>
          <cell r="H457">
            <v>0</v>
          </cell>
        </row>
        <row r="458">
          <cell r="A458">
            <v>6010132</v>
          </cell>
          <cell r="B458">
            <v>6010132</v>
          </cell>
          <cell r="C458" t="str">
            <v xml:space="preserve"> REKENING ANTAR KANTOR BATAM (DPS) </v>
          </cell>
          <cell r="D458">
            <v>-0.05</v>
          </cell>
          <cell r="E458">
            <v>7771964</v>
          </cell>
          <cell r="F458">
            <v>7771964</v>
          </cell>
          <cell r="G458">
            <v>-0.05</v>
          </cell>
          <cell r="H458">
            <v>0</v>
          </cell>
        </row>
        <row r="459">
          <cell r="A459">
            <v>6010133</v>
          </cell>
          <cell r="B459">
            <v>6010133</v>
          </cell>
          <cell r="C459" t="str">
            <v> REKENING ANTAR KANTOR BANDAR LAMPUNG (DPS)</v>
          </cell>
          <cell r="D459">
            <v>0.42</v>
          </cell>
          <cell r="E459">
            <v>6592579.2800000003</v>
          </cell>
          <cell r="F459">
            <v>6592579.2800000003</v>
          </cell>
          <cell r="G459">
            <v>0.42</v>
          </cell>
          <cell r="H459">
            <v>0</v>
          </cell>
        </row>
        <row r="460">
          <cell r="A460">
            <v>6010134</v>
          </cell>
          <cell r="B460">
            <v>6010134</v>
          </cell>
          <cell r="C460" t="str">
            <v xml:space="preserve"> REKENING ANTAR KANTOR PONTIANAK (DPS) </v>
          </cell>
          <cell r="D460">
            <v>0.27</v>
          </cell>
          <cell r="E460">
            <v>56531384</v>
          </cell>
          <cell r="F460">
            <v>56531384</v>
          </cell>
          <cell r="G460">
            <v>0.27</v>
          </cell>
          <cell r="H460">
            <v>0</v>
          </cell>
        </row>
        <row r="461">
          <cell r="A461">
            <v>6010135</v>
          </cell>
          <cell r="B461">
            <v>6010135</v>
          </cell>
          <cell r="C461" t="str">
            <v xml:space="preserve"> REKENING ANTAR KANTOR BANJARMASIN (DPS) </v>
          </cell>
          <cell r="D461">
            <v>-0.36</v>
          </cell>
          <cell r="E461">
            <v>37847500.07</v>
          </cell>
          <cell r="F461">
            <v>37847500.07</v>
          </cell>
          <cell r="G461">
            <v>-0.36</v>
          </cell>
          <cell r="H461">
            <v>0</v>
          </cell>
        </row>
        <row r="462">
          <cell r="A462">
            <v>6010136</v>
          </cell>
          <cell r="B462">
            <v>6010136</v>
          </cell>
          <cell r="C462" t="str">
            <v xml:space="preserve"> REKENING ANTAR KANTOR SAMARINDA (DPS) </v>
          </cell>
          <cell r="D462">
            <v>0.1</v>
          </cell>
          <cell r="E462">
            <v>1599603</v>
          </cell>
          <cell r="F462">
            <v>1599603</v>
          </cell>
          <cell r="G462">
            <v>0.1</v>
          </cell>
          <cell r="H462">
            <v>0</v>
          </cell>
        </row>
        <row r="463">
          <cell r="A463">
            <v>6010137</v>
          </cell>
          <cell r="B463">
            <v>6010137</v>
          </cell>
          <cell r="C463" t="str">
            <v xml:space="preserve"> REKENING ANTAR KANTOR BONTANG (DPS) </v>
          </cell>
          <cell r="D463">
            <v>0.42</v>
          </cell>
          <cell r="E463">
            <v>800995</v>
          </cell>
          <cell r="F463">
            <v>800995</v>
          </cell>
          <cell r="G463">
            <v>0.42</v>
          </cell>
          <cell r="H463">
            <v>0</v>
          </cell>
        </row>
        <row r="464">
          <cell r="A464">
            <v>6010138</v>
          </cell>
          <cell r="B464">
            <v>6010138</v>
          </cell>
          <cell r="C464" t="str">
            <v xml:space="preserve"> REKENING ANTAR KANTOR BALIKPAPAN (DPS) </v>
          </cell>
          <cell r="D464">
            <v>0.11</v>
          </cell>
          <cell r="E464">
            <v>2264758</v>
          </cell>
          <cell r="F464">
            <v>2264758</v>
          </cell>
          <cell r="G464">
            <v>0.11</v>
          </cell>
          <cell r="H464">
            <v>0</v>
          </cell>
        </row>
        <row r="465">
          <cell r="A465">
            <v>6010139</v>
          </cell>
          <cell r="B465">
            <v>6010139</v>
          </cell>
          <cell r="C465" t="str">
            <v xml:space="preserve"> REKENING ANTAR KANTOR MAKASAR (DPS) </v>
          </cell>
          <cell r="D465">
            <v>0.47</v>
          </cell>
          <cell r="E465">
            <v>11864313.609999999</v>
          </cell>
          <cell r="F465">
            <v>11864313.609999999</v>
          </cell>
          <cell r="G465">
            <v>0.47</v>
          </cell>
          <cell r="H465">
            <v>0</v>
          </cell>
        </row>
        <row r="466">
          <cell r="A466">
            <v>6010140</v>
          </cell>
          <cell r="B466">
            <v>6010140</v>
          </cell>
          <cell r="C466" t="str">
            <v xml:space="preserve"> REKENING ANTAR KANTOR KENDARI (DPS) </v>
          </cell>
          <cell r="D466">
            <v>0</v>
          </cell>
          <cell r="E466">
            <v>23109417.390000001</v>
          </cell>
          <cell r="F466">
            <v>23109417.390000001</v>
          </cell>
          <cell r="G466">
            <v>0</v>
          </cell>
          <cell r="H466">
            <v>0</v>
          </cell>
        </row>
        <row r="467">
          <cell r="A467">
            <v>6010141</v>
          </cell>
          <cell r="B467">
            <v>6010141</v>
          </cell>
          <cell r="C467" t="str">
            <v xml:space="preserve"> REKENING ANTAR KANTOR MATARAM (DPS) </v>
          </cell>
          <cell r="D467">
            <v>0</v>
          </cell>
          <cell r="E467">
            <v>6532063</v>
          </cell>
          <cell r="F467">
            <v>6532063</v>
          </cell>
          <cell r="G467">
            <v>0</v>
          </cell>
          <cell r="H467">
            <v>0</v>
          </cell>
        </row>
        <row r="468">
          <cell r="A468">
            <v>6010142</v>
          </cell>
          <cell r="B468">
            <v>6010142</v>
          </cell>
          <cell r="C468" t="str">
            <v xml:space="preserve"> REKENING ANTAR KANTOR PURWOKERTO (DPS) </v>
          </cell>
          <cell r="D468">
            <v>0</v>
          </cell>
          <cell r="E468">
            <v>9649110.5199999996</v>
          </cell>
          <cell r="F468">
            <v>9649110.5199999996</v>
          </cell>
          <cell r="G468">
            <v>0</v>
          </cell>
          <cell r="H468">
            <v>0</v>
          </cell>
        </row>
        <row r="469">
          <cell r="A469">
            <v>6010143</v>
          </cell>
          <cell r="B469">
            <v>6010143</v>
          </cell>
          <cell r="C469" t="str">
            <v xml:space="preserve"> REKENING ANTAR KANTOR DENPASAR (DPS) </v>
          </cell>
          <cell r="D469">
            <v>1.5</v>
          </cell>
          <cell r="E469">
            <v>5271083.57</v>
          </cell>
          <cell r="F469">
            <v>5271083.57</v>
          </cell>
          <cell r="G469">
            <v>1.5</v>
          </cell>
          <cell r="H469">
            <v>0</v>
          </cell>
        </row>
        <row r="470">
          <cell r="A470">
            <v>6010144</v>
          </cell>
          <cell r="B470">
            <v>6010144</v>
          </cell>
          <cell r="C470" t="str">
            <v xml:space="preserve"> REKENING ANTAR KANTOR BENGKULU (DPS) </v>
          </cell>
          <cell r="D470">
            <v>0</v>
          </cell>
          <cell r="E470">
            <v>3629687.14</v>
          </cell>
          <cell r="F470">
            <v>3629687.14</v>
          </cell>
          <cell r="G470">
            <v>0</v>
          </cell>
          <cell r="H470">
            <v>0</v>
          </cell>
        </row>
        <row r="471">
          <cell r="A471">
            <v>6010145</v>
          </cell>
          <cell r="B471">
            <v>6010145</v>
          </cell>
          <cell r="C471" t="str">
            <v xml:space="preserve"> REKENING ANTAR KANTOR TASIKMALAYA (DPS) </v>
          </cell>
          <cell r="D471">
            <v>0</v>
          </cell>
          <cell r="E471">
            <v>3404657</v>
          </cell>
          <cell r="F471">
            <v>3404657</v>
          </cell>
          <cell r="G471">
            <v>0</v>
          </cell>
          <cell r="H471">
            <v>0</v>
          </cell>
        </row>
        <row r="472">
          <cell r="A472">
            <v>6010146</v>
          </cell>
          <cell r="B472">
            <v>6010146</v>
          </cell>
          <cell r="C472" t="str">
            <v xml:space="preserve"> REKENING ANTAR KANTOR PALU (DPS) </v>
          </cell>
          <cell r="D472">
            <v>0</v>
          </cell>
          <cell r="E472">
            <v>3051709</v>
          </cell>
          <cell r="F472">
            <v>3051709</v>
          </cell>
          <cell r="G472">
            <v>0</v>
          </cell>
          <cell r="H472">
            <v>0</v>
          </cell>
        </row>
        <row r="473">
          <cell r="A473">
            <v>6010147</v>
          </cell>
          <cell r="B473">
            <v>6010147</v>
          </cell>
          <cell r="C473" t="str">
            <v xml:space="preserve"> REKENING ANTAR KANTOR EKS IND DPS RP </v>
          </cell>
          <cell r="D473">
            <v>0</v>
          </cell>
          <cell r="E473">
            <v>4051370</v>
          </cell>
          <cell r="F473">
            <v>4051370</v>
          </cell>
          <cell r="G473">
            <v>0</v>
          </cell>
          <cell r="H473">
            <v>0</v>
          </cell>
        </row>
        <row r="474">
          <cell r="A474">
            <v>6010201</v>
          </cell>
          <cell r="B474">
            <v>6010201</v>
          </cell>
          <cell r="C474" t="str">
            <v xml:space="preserve"> REKENING ANTAR KANTOR KANTOR PUSAT (DPT) </v>
          </cell>
          <cell r="D474">
            <v>-1.48</v>
          </cell>
          <cell r="E474">
            <v>300000000</v>
          </cell>
          <cell r="F474">
            <v>300000000</v>
          </cell>
          <cell r="G474">
            <v>-1.48</v>
          </cell>
          <cell r="H474">
            <v>0</v>
          </cell>
        </row>
        <row r="475">
          <cell r="A475">
            <v>6010203</v>
          </cell>
          <cell r="B475">
            <v>6010203</v>
          </cell>
          <cell r="C475" t="str">
            <v> REKENING ANTAR KANTOR DKI 1 GANDARIA (DPT)</v>
          </cell>
          <cell r="D475">
            <v>0.2</v>
          </cell>
          <cell r="E475">
            <v>118622506</v>
          </cell>
          <cell r="F475">
            <v>118622506</v>
          </cell>
          <cell r="G475">
            <v>0.2</v>
          </cell>
          <cell r="H475">
            <v>0</v>
          </cell>
        </row>
        <row r="476">
          <cell r="A476">
            <v>6010204</v>
          </cell>
          <cell r="B476">
            <v>6010204</v>
          </cell>
          <cell r="C476" t="str">
            <v xml:space="preserve"> REKENING ANTAR KANTOR DKI 2 SLIPI (DPT) </v>
          </cell>
          <cell r="D476">
            <v>-0.28000000000000003</v>
          </cell>
          <cell r="E476">
            <v>517420000</v>
          </cell>
          <cell r="F476">
            <v>517420000</v>
          </cell>
          <cell r="G476">
            <v>-0.28000000000000003</v>
          </cell>
          <cell r="H476">
            <v>0</v>
          </cell>
        </row>
        <row r="477">
          <cell r="A477">
            <v>6010205</v>
          </cell>
          <cell r="B477">
            <v>6010205</v>
          </cell>
          <cell r="C477" t="str">
            <v> REKENING ANTAR KANTOR DKI 3 UTAN KAYU (DPT</v>
          </cell>
          <cell r="D477">
            <v>-0.28999999999999998</v>
          </cell>
          <cell r="E477">
            <v>431280000</v>
          </cell>
          <cell r="F477">
            <v>431280000</v>
          </cell>
          <cell r="G477">
            <v>-0.28999999999999998</v>
          </cell>
          <cell r="H477">
            <v>0</v>
          </cell>
        </row>
        <row r="478">
          <cell r="A478">
            <v>6010206</v>
          </cell>
          <cell r="B478">
            <v>6010206</v>
          </cell>
          <cell r="C478" t="str">
            <v xml:space="preserve"> REKENING ANTAR KANTOR BOGOR (DPT) </v>
          </cell>
          <cell r="D478">
            <v>-0.24</v>
          </cell>
          <cell r="E478">
            <v>441631722</v>
          </cell>
          <cell r="F478">
            <v>441631722</v>
          </cell>
          <cell r="G478">
            <v>-0.24</v>
          </cell>
          <cell r="H478">
            <v>0</v>
          </cell>
        </row>
        <row r="479">
          <cell r="A479">
            <v>6010207</v>
          </cell>
          <cell r="B479">
            <v>6010207</v>
          </cell>
          <cell r="C479" t="str">
            <v xml:space="preserve"> REKENING ANTAR KANTOR SERANG (DPT) </v>
          </cell>
          <cell r="D479">
            <v>0.18</v>
          </cell>
          <cell r="E479">
            <v>91150000</v>
          </cell>
          <cell r="F479">
            <v>91150000</v>
          </cell>
          <cell r="G479">
            <v>0.18</v>
          </cell>
          <cell r="H479">
            <v>0</v>
          </cell>
        </row>
        <row r="480">
          <cell r="A480">
            <v>6010208</v>
          </cell>
          <cell r="B480">
            <v>6010208</v>
          </cell>
          <cell r="C480" t="str">
            <v xml:space="preserve"> REKENING ANTAR KANTOR DEPOK (DPT) </v>
          </cell>
          <cell r="D480">
            <v>-1.1399999999999999</v>
          </cell>
          <cell r="E480">
            <v>356683408</v>
          </cell>
          <cell r="F480">
            <v>356683408</v>
          </cell>
          <cell r="G480">
            <v>-1.1399999999999999</v>
          </cell>
          <cell r="H480">
            <v>0</v>
          </cell>
        </row>
        <row r="481">
          <cell r="A481">
            <v>6010209</v>
          </cell>
          <cell r="B481">
            <v>6010209</v>
          </cell>
          <cell r="C481" t="str">
            <v xml:space="preserve"> REKENING ANTAR KANTOR TANGERANG (DPT) </v>
          </cell>
          <cell r="D481">
            <v>-0.23</v>
          </cell>
          <cell r="E481">
            <v>950727050</v>
          </cell>
          <cell r="F481">
            <v>950727050</v>
          </cell>
          <cell r="G481">
            <v>-0.23</v>
          </cell>
          <cell r="H481">
            <v>0</v>
          </cell>
        </row>
        <row r="482">
          <cell r="A482">
            <v>6010210</v>
          </cell>
          <cell r="B482">
            <v>6010210</v>
          </cell>
          <cell r="C482" t="str">
            <v> REKENING ANTAR KANTOR COUNTER SAHARJO (DPT</v>
          </cell>
          <cell r="D482">
            <v>-0.01</v>
          </cell>
          <cell r="E482">
            <v>0</v>
          </cell>
          <cell r="F482">
            <v>0</v>
          </cell>
          <cell r="G482">
            <v>-0.01</v>
          </cell>
          <cell r="H482">
            <v>0</v>
          </cell>
        </row>
        <row r="483">
          <cell r="A483">
            <v>6010211</v>
          </cell>
          <cell r="B483">
            <v>6010211</v>
          </cell>
          <cell r="C483" t="str">
            <v xml:space="preserve"> REKENING ANTAR KANTOR BEKASI (DPT) </v>
          </cell>
          <cell r="D483">
            <v>-0.53</v>
          </cell>
          <cell r="E483">
            <v>619395250</v>
          </cell>
          <cell r="F483">
            <v>619395250</v>
          </cell>
          <cell r="G483">
            <v>-0.53</v>
          </cell>
          <cell r="H483">
            <v>0</v>
          </cell>
        </row>
        <row r="484">
          <cell r="A484">
            <v>6010215</v>
          </cell>
          <cell r="B484">
            <v>6010215</v>
          </cell>
          <cell r="C484" t="str">
            <v> REKENING ANTAR KANTOR DKI 6 PONDOK INDAH (</v>
          </cell>
          <cell r="D484">
            <v>0.53</v>
          </cell>
          <cell r="E484">
            <v>433548936</v>
          </cell>
          <cell r="F484">
            <v>433548936</v>
          </cell>
          <cell r="G484">
            <v>0.53</v>
          </cell>
          <cell r="H484">
            <v>0</v>
          </cell>
        </row>
        <row r="485">
          <cell r="A485">
            <v>6010216</v>
          </cell>
          <cell r="B485">
            <v>6010216</v>
          </cell>
          <cell r="C485" t="str">
            <v> REKENING ANTAR KANTOR CABANG SINERGI SAHAR</v>
          </cell>
          <cell r="D485">
            <v>0.33</v>
          </cell>
          <cell r="E485">
            <v>0</v>
          </cell>
          <cell r="F485">
            <v>0</v>
          </cell>
          <cell r="G485">
            <v>0.33</v>
          </cell>
          <cell r="H485">
            <v>0</v>
          </cell>
        </row>
        <row r="486">
          <cell r="A486">
            <v>6010217</v>
          </cell>
          <cell r="B486">
            <v>6010217</v>
          </cell>
          <cell r="C486" t="str">
            <v xml:space="preserve"> REKENING ANTAR KANTOR BANDUNG (DPT) </v>
          </cell>
          <cell r="D486">
            <v>0</v>
          </cell>
          <cell r="E486">
            <v>628276593.27999997</v>
          </cell>
          <cell r="F486">
            <v>628276593.27999997</v>
          </cell>
          <cell r="G486">
            <v>0</v>
          </cell>
          <cell r="H486">
            <v>0</v>
          </cell>
        </row>
        <row r="487">
          <cell r="A487">
            <v>6010218</v>
          </cell>
          <cell r="B487">
            <v>6010218</v>
          </cell>
          <cell r="C487" t="str">
            <v xml:space="preserve"> REKENING ANTAR KANTOR CIREBON (DPT) </v>
          </cell>
          <cell r="D487">
            <v>0.13</v>
          </cell>
          <cell r="E487">
            <v>201200000</v>
          </cell>
          <cell r="F487">
            <v>201200000</v>
          </cell>
          <cell r="G487">
            <v>0.12999999523162842</v>
          </cell>
          <cell r="H487">
            <v>0</v>
          </cell>
        </row>
        <row r="488">
          <cell r="A488">
            <v>6010219</v>
          </cell>
          <cell r="B488">
            <v>6010219</v>
          </cell>
          <cell r="C488" t="str">
            <v xml:space="preserve"> REKENING ANTAR KANTOR SEMARANG (DPT) </v>
          </cell>
          <cell r="D488">
            <v>0.56999999999999995</v>
          </cell>
          <cell r="E488">
            <v>255950000</v>
          </cell>
          <cell r="F488">
            <v>255950000</v>
          </cell>
          <cell r="G488">
            <v>0.56999999284744263</v>
          </cell>
          <cell r="H488">
            <v>0</v>
          </cell>
        </row>
        <row r="489">
          <cell r="A489">
            <v>6010220</v>
          </cell>
          <cell r="B489">
            <v>6010220</v>
          </cell>
          <cell r="C489" t="str">
            <v xml:space="preserve"> REKENING ANTAR KANTOR SOLO (DPT) </v>
          </cell>
          <cell r="D489">
            <v>0</v>
          </cell>
          <cell r="E489">
            <v>255384375</v>
          </cell>
          <cell r="F489">
            <v>255384375</v>
          </cell>
          <cell r="G489">
            <v>0</v>
          </cell>
          <cell r="H489">
            <v>0</v>
          </cell>
        </row>
        <row r="490">
          <cell r="A490">
            <v>6010221</v>
          </cell>
          <cell r="B490">
            <v>6010221</v>
          </cell>
          <cell r="C490" t="str">
            <v xml:space="preserve"> REKENING ANTAR KANTOR YOGYAKARTA (DPT) </v>
          </cell>
          <cell r="D490">
            <v>0.55000000000000004</v>
          </cell>
          <cell r="E490">
            <v>321025000</v>
          </cell>
          <cell r="F490">
            <v>321025000</v>
          </cell>
          <cell r="G490">
            <v>0.55000001192092896</v>
          </cell>
          <cell r="H490">
            <v>0</v>
          </cell>
        </row>
        <row r="491">
          <cell r="A491">
            <v>6010222</v>
          </cell>
          <cell r="B491">
            <v>6010222</v>
          </cell>
          <cell r="C491" t="str">
            <v xml:space="preserve"> REKENING ANTAR KANTOR SURABAYA 1 (DPT) </v>
          </cell>
          <cell r="D491">
            <v>-0.89</v>
          </cell>
          <cell r="E491">
            <v>499846720</v>
          </cell>
          <cell r="F491">
            <v>499846719.11000001</v>
          </cell>
          <cell r="G491">
            <v>0</v>
          </cell>
          <cell r="H491">
            <v>0.88999998569488525</v>
          </cell>
        </row>
        <row r="492">
          <cell r="A492">
            <v>6010224</v>
          </cell>
          <cell r="B492">
            <v>6010224</v>
          </cell>
          <cell r="C492" t="str">
            <v xml:space="preserve"> REKENING ANTAR KANTOR MALANG (DPT) </v>
          </cell>
          <cell r="D492">
            <v>0</v>
          </cell>
          <cell r="E492">
            <v>30050000</v>
          </cell>
          <cell r="F492">
            <v>30050000</v>
          </cell>
          <cell r="G492">
            <v>0</v>
          </cell>
          <cell r="H492">
            <v>0</v>
          </cell>
        </row>
        <row r="493">
          <cell r="A493">
            <v>6010225</v>
          </cell>
          <cell r="B493">
            <v>6010225</v>
          </cell>
          <cell r="C493" t="str">
            <v xml:space="preserve"> REKENING ANTAR KANTOR ACEH (DPT) </v>
          </cell>
          <cell r="D493">
            <v>0.38</v>
          </cell>
          <cell r="E493">
            <v>106250000</v>
          </cell>
          <cell r="F493">
            <v>106250000</v>
          </cell>
          <cell r="G493">
            <v>0.37999999523162842</v>
          </cell>
          <cell r="H493">
            <v>0</v>
          </cell>
        </row>
        <row r="494">
          <cell r="A494">
            <v>6010226</v>
          </cell>
          <cell r="B494">
            <v>6010226</v>
          </cell>
          <cell r="C494" t="str">
            <v xml:space="preserve"> REKENING ANTAR KANTOR LHOKSUMAWE (DPT) </v>
          </cell>
          <cell r="D494">
            <v>0.03</v>
          </cell>
          <cell r="E494">
            <v>500000</v>
          </cell>
          <cell r="F494">
            <v>500000</v>
          </cell>
          <cell r="G494">
            <v>3.0000000027939677E-2</v>
          </cell>
          <cell r="H494">
            <v>0</v>
          </cell>
        </row>
        <row r="495">
          <cell r="A495">
            <v>6010227</v>
          </cell>
          <cell r="B495">
            <v>6010227</v>
          </cell>
          <cell r="C495" t="str">
            <v xml:space="preserve"> REKENING ANTAR KANTOR MEDAN (DPT) </v>
          </cell>
          <cell r="D495">
            <v>-0.41</v>
          </cell>
          <cell r="E495">
            <v>386346515.91000003</v>
          </cell>
          <cell r="F495">
            <v>386346515.91000003</v>
          </cell>
          <cell r="G495">
            <v>-0.4100000262260437</v>
          </cell>
          <cell r="H495">
            <v>0</v>
          </cell>
        </row>
        <row r="496">
          <cell r="A496">
            <v>6010228</v>
          </cell>
          <cell r="B496">
            <v>6010228</v>
          </cell>
          <cell r="C496" t="str">
            <v xml:space="preserve"> REKENING ANTAR KANTOR PADANG (DPT) </v>
          </cell>
          <cell r="D496">
            <v>0.96</v>
          </cell>
          <cell r="E496">
            <v>307208822</v>
          </cell>
          <cell r="F496">
            <v>307208822.95999998</v>
          </cell>
          <cell r="G496">
            <v>0</v>
          </cell>
          <cell r="H496">
            <v>-0.95999997854232788</v>
          </cell>
        </row>
        <row r="497">
          <cell r="A497">
            <v>6010229</v>
          </cell>
          <cell r="B497">
            <v>6010229</v>
          </cell>
          <cell r="C497" t="str">
            <v xml:space="preserve"> REKENING ANTAR KANTOR PALEMBANG (DPT) </v>
          </cell>
          <cell r="D497">
            <v>0</v>
          </cell>
          <cell r="E497">
            <v>205050000</v>
          </cell>
          <cell r="F497">
            <v>205050000</v>
          </cell>
          <cell r="G497">
            <v>0</v>
          </cell>
          <cell r="H497">
            <v>0</v>
          </cell>
        </row>
        <row r="498">
          <cell r="A498">
            <v>6010230</v>
          </cell>
          <cell r="B498">
            <v>6010230</v>
          </cell>
          <cell r="C498" t="str">
            <v xml:space="preserve"> REKENING ANTAR KANTOR JAMBI (DPT) </v>
          </cell>
          <cell r="D498">
            <v>0</v>
          </cell>
          <cell r="E498">
            <v>84000000</v>
          </cell>
          <cell r="F498">
            <v>84000000</v>
          </cell>
          <cell r="G498">
            <v>0</v>
          </cell>
          <cell r="H498">
            <v>0</v>
          </cell>
        </row>
        <row r="499">
          <cell r="A499">
            <v>6010231</v>
          </cell>
          <cell r="B499">
            <v>6010231</v>
          </cell>
          <cell r="C499" t="str">
            <v xml:space="preserve"> REKENING ANTAR KANTOR PEKAN BARU (DPT) </v>
          </cell>
          <cell r="D499">
            <v>0.03</v>
          </cell>
          <cell r="E499">
            <v>246250000</v>
          </cell>
          <cell r="F499">
            <v>246250000.03</v>
          </cell>
          <cell r="G499">
            <v>0</v>
          </cell>
          <cell r="H499">
            <v>-3.0000001192092896E-2</v>
          </cell>
        </row>
        <row r="500">
          <cell r="A500">
            <v>6010232</v>
          </cell>
          <cell r="B500">
            <v>6010232</v>
          </cell>
          <cell r="C500" t="str">
            <v xml:space="preserve"> REKENING ANTAR KANTOR BATAM (DPT) </v>
          </cell>
          <cell r="D500">
            <v>0.05</v>
          </cell>
          <cell r="E500">
            <v>211173500</v>
          </cell>
          <cell r="F500">
            <v>211173500</v>
          </cell>
          <cell r="G500">
            <v>5.0000011920928955E-2</v>
          </cell>
          <cell r="H500">
            <v>0</v>
          </cell>
        </row>
        <row r="501">
          <cell r="A501">
            <v>6010233</v>
          </cell>
          <cell r="B501">
            <v>6010233</v>
          </cell>
          <cell r="C501" t="str">
            <v> REKENING ANTAR KANTOR BANDAR LAMPUNG (DPT)</v>
          </cell>
          <cell r="D501">
            <v>-0.42</v>
          </cell>
          <cell r="E501">
            <v>413500000</v>
          </cell>
          <cell r="F501">
            <v>413500000</v>
          </cell>
          <cell r="G501">
            <v>-0.42000001668930054</v>
          </cell>
          <cell r="H501">
            <v>0</v>
          </cell>
        </row>
        <row r="502">
          <cell r="A502">
            <v>6010234</v>
          </cell>
          <cell r="B502">
            <v>6010234</v>
          </cell>
          <cell r="C502" t="str">
            <v xml:space="preserve"> REKENING ANTAR KANTOR PONTIANAK (DPT) </v>
          </cell>
          <cell r="D502">
            <v>0.03</v>
          </cell>
          <cell r="E502">
            <v>473150000</v>
          </cell>
          <cell r="F502">
            <v>473150000</v>
          </cell>
          <cell r="G502">
            <v>2.9999971389770508E-2</v>
          </cell>
          <cell r="H502">
            <v>0</v>
          </cell>
        </row>
        <row r="503">
          <cell r="A503">
            <v>6010235</v>
          </cell>
          <cell r="B503">
            <v>6010235</v>
          </cell>
          <cell r="C503" t="str">
            <v xml:space="preserve"> REKENING ANTAR KANTOR BANJARMASIN (DPT) </v>
          </cell>
          <cell r="D503">
            <v>-0.09</v>
          </cell>
          <cell r="E503">
            <v>58000000</v>
          </cell>
          <cell r="F503">
            <v>58000000</v>
          </cell>
          <cell r="G503">
            <v>-9.0000003576278687E-2</v>
          </cell>
          <cell r="H503">
            <v>0</v>
          </cell>
        </row>
        <row r="504">
          <cell r="A504">
            <v>6010236</v>
          </cell>
          <cell r="B504">
            <v>6010236</v>
          </cell>
          <cell r="C504" t="str">
            <v xml:space="preserve"> REKENING ANTAR KANTOR SAMARINDA (DPT) </v>
          </cell>
          <cell r="D504">
            <v>0.35</v>
          </cell>
          <cell r="E504">
            <v>449200000</v>
          </cell>
          <cell r="F504">
            <v>449200000</v>
          </cell>
          <cell r="G504">
            <v>0.35000002384185791</v>
          </cell>
          <cell r="H504">
            <v>0</v>
          </cell>
        </row>
        <row r="505">
          <cell r="A505">
            <v>6010237</v>
          </cell>
          <cell r="B505">
            <v>6010237</v>
          </cell>
          <cell r="C505" t="str">
            <v xml:space="preserve"> REKENING ANTAR KANTOR BONTANG (DPT) </v>
          </cell>
          <cell r="D505">
            <v>-1.9</v>
          </cell>
          <cell r="E505">
            <v>180100000</v>
          </cell>
          <cell r="F505">
            <v>180100000</v>
          </cell>
          <cell r="G505">
            <v>-1.9000000059604645</v>
          </cell>
          <cell r="H505">
            <v>0</v>
          </cell>
        </row>
        <row r="506">
          <cell r="A506">
            <v>6010238</v>
          </cell>
          <cell r="B506">
            <v>6010238</v>
          </cell>
          <cell r="C506" t="str">
            <v xml:space="preserve"> REKENING ANTAR KANTOR BALIKPAPAN (DPT) </v>
          </cell>
          <cell r="D506">
            <v>-0.11</v>
          </cell>
          <cell r="E506">
            <v>269666298</v>
          </cell>
          <cell r="F506">
            <v>269666298</v>
          </cell>
          <cell r="G506">
            <v>-0.11000001430511475</v>
          </cell>
          <cell r="H506">
            <v>0</v>
          </cell>
        </row>
        <row r="507">
          <cell r="A507">
            <v>6010239</v>
          </cell>
          <cell r="B507">
            <v>6010239</v>
          </cell>
          <cell r="C507" t="str">
            <v xml:space="preserve"> REKENING ANTAR KANTOR MAKASAR (DPT) </v>
          </cell>
          <cell r="D507">
            <v>-0.37</v>
          </cell>
          <cell r="E507">
            <v>537000000</v>
          </cell>
          <cell r="F507">
            <v>536999999.63</v>
          </cell>
          <cell r="G507">
            <v>0</v>
          </cell>
          <cell r="H507">
            <v>0.37000000476837158</v>
          </cell>
        </row>
        <row r="508">
          <cell r="A508">
            <v>6010240</v>
          </cell>
          <cell r="B508">
            <v>6010240</v>
          </cell>
          <cell r="C508" t="str">
            <v xml:space="preserve"> REKENING ANTAR KANTOR KENDARI (DPT) </v>
          </cell>
          <cell r="D508">
            <v>0</v>
          </cell>
          <cell r="E508">
            <v>73000000</v>
          </cell>
          <cell r="F508">
            <v>73000000</v>
          </cell>
          <cell r="G508">
            <v>0</v>
          </cell>
          <cell r="H508">
            <v>0</v>
          </cell>
        </row>
        <row r="509">
          <cell r="A509">
            <v>6010241</v>
          </cell>
          <cell r="B509">
            <v>6010241</v>
          </cell>
          <cell r="C509" t="str">
            <v xml:space="preserve"> REKENING ANTAR KANTOR MATARAM (DPT) </v>
          </cell>
          <cell r="D509">
            <v>0</v>
          </cell>
          <cell r="E509">
            <v>88850000</v>
          </cell>
          <cell r="F509">
            <v>88850000</v>
          </cell>
          <cell r="G509">
            <v>0</v>
          </cell>
          <cell r="H509">
            <v>0</v>
          </cell>
        </row>
        <row r="510">
          <cell r="A510">
            <v>6010242</v>
          </cell>
          <cell r="B510">
            <v>6010242</v>
          </cell>
          <cell r="C510" t="str">
            <v xml:space="preserve"> REKENING ANTAR KANTOR PURWOKERTO (DPT) </v>
          </cell>
          <cell r="D510">
            <v>0</v>
          </cell>
          <cell r="E510">
            <v>79950000</v>
          </cell>
          <cell r="F510">
            <v>79950000</v>
          </cell>
          <cell r="G510">
            <v>0</v>
          </cell>
          <cell r="H510">
            <v>0</v>
          </cell>
        </row>
        <row r="511">
          <cell r="A511">
            <v>6010243</v>
          </cell>
          <cell r="B511">
            <v>6010243</v>
          </cell>
          <cell r="C511" t="str">
            <v xml:space="preserve"> REKENING ANTAR KANTOR DENPASAR (DPT) </v>
          </cell>
          <cell r="D511">
            <v>0</v>
          </cell>
          <cell r="E511">
            <v>53200000</v>
          </cell>
          <cell r="F511">
            <v>53200000</v>
          </cell>
          <cell r="G511">
            <v>0</v>
          </cell>
          <cell r="H511">
            <v>0</v>
          </cell>
        </row>
        <row r="512">
          <cell r="A512">
            <v>6010244</v>
          </cell>
          <cell r="B512">
            <v>6010244</v>
          </cell>
          <cell r="C512" t="str">
            <v xml:space="preserve"> REKENING ANTAR KANTOR BENGKULU (DPT) </v>
          </cell>
          <cell r="D512">
            <v>0</v>
          </cell>
          <cell r="E512">
            <v>121650000</v>
          </cell>
          <cell r="F512">
            <v>121650000</v>
          </cell>
          <cell r="G512">
            <v>0</v>
          </cell>
          <cell r="H512">
            <v>0</v>
          </cell>
        </row>
        <row r="513">
          <cell r="A513">
            <v>6010245</v>
          </cell>
          <cell r="B513">
            <v>6010245</v>
          </cell>
          <cell r="C513" t="str">
            <v xml:space="preserve"> REKENING ANTAR KANTOR TASIKMALAYA (DPT) </v>
          </cell>
          <cell r="D513">
            <v>0</v>
          </cell>
          <cell r="E513">
            <v>26000000</v>
          </cell>
          <cell r="F513">
            <v>26000000</v>
          </cell>
          <cell r="G513">
            <v>0</v>
          </cell>
          <cell r="H513">
            <v>0</v>
          </cell>
        </row>
        <row r="514">
          <cell r="A514">
            <v>6010246</v>
          </cell>
          <cell r="B514">
            <v>6010246</v>
          </cell>
          <cell r="C514" t="str">
            <v xml:space="preserve"> REKENING ANTAR KANTOR PALU (DPT) </v>
          </cell>
          <cell r="D514">
            <v>0</v>
          </cell>
          <cell r="E514">
            <v>36572560</v>
          </cell>
          <cell r="F514">
            <v>36572560</v>
          </cell>
          <cell r="G514">
            <v>0</v>
          </cell>
          <cell r="H514">
            <v>0</v>
          </cell>
        </row>
        <row r="515">
          <cell r="A515">
            <v>6010247</v>
          </cell>
          <cell r="B515">
            <v>6010247</v>
          </cell>
          <cell r="C515" t="str">
            <v xml:space="preserve"> REKENING ANTAR KANTOR EKS IND DPT RP </v>
          </cell>
          <cell r="D515">
            <v>0</v>
          </cell>
          <cell r="E515">
            <v>429252500</v>
          </cell>
          <cell r="F515">
            <v>429252500</v>
          </cell>
          <cell r="G515">
            <v>0</v>
          </cell>
          <cell r="H515">
            <v>0</v>
          </cell>
        </row>
        <row r="516">
          <cell r="A516">
            <v>6010301</v>
          </cell>
          <cell r="B516">
            <v>6010301</v>
          </cell>
          <cell r="C516" t="str">
            <v xml:space="preserve"> REKENING ANTAR KANTOR PUSAT(DPT$) </v>
          </cell>
          <cell r="D516">
            <v>0.22</v>
          </cell>
          <cell r="E516">
            <v>120000070.59999999</v>
          </cell>
          <cell r="F516">
            <v>120000070.59999999</v>
          </cell>
          <cell r="G516">
            <v>0.2199999988079071</v>
          </cell>
          <cell r="H516">
            <v>0</v>
          </cell>
        </row>
        <row r="517">
          <cell r="A517">
            <v>6010305</v>
          </cell>
          <cell r="B517">
            <v>6010305</v>
          </cell>
          <cell r="C517" t="str">
            <v xml:space="preserve"> REKENING ANTAR KTR DKI 3 UTAN KAYU(DPT$) </v>
          </cell>
          <cell r="D517">
            <v>-1</v>
          </cell>
          <cell r="E517">
            <v>4550000</v>
          </cell>
          <cell r="F517">
            <v>4550000</v>
          </cell>
          <cell r="G517">
            <v>-1</v>
          </cell>
          <cell r="H517">
            <v>0</v>
          </cell>
        </row>
        <row r="518">
          <cell r="A518">
            <v>6010308</v>
          </cell>
          <cell r="B518">
            <v>6010308</v>
          </cell>
          <cell r="C518" t="str">
            <v xml:space="preserve"> REKENING ANTAR KANTOR DEPOK ( DPT $ ) </v>
          </cell>
          <cell r="D518">
            <v>0.06</v>
          </cell>
          <cell r="E518">
            <v>1825005.3</v>
          </cell>
          <cell r="F518">
            <v>1825005.3</v>
          </cell>
          <cell r="G518">
            <v>6.0000000055879354E-2</v>
          </cell>
          <cell r="H518">
            <v>0</v>
          </cell>
        </row>
        <row r="519">
          <cell r="A519">
            <v>6010309</v>
          </cell>
          <cell r="B519">
            <v>6010309</v>
          </cell>
          <cell r="C519" t="str">
            <v xml:space="preserve"> REKENING ANTAR KANTOR TANGERANG (DPT$) </v>
          </cell>
          <cell r="D519">
            <v>0</v>
          </cell>
          <cell r="E519">
            <v>13690922.199999999</v>
          </cell>
          <cell r="F519">
            <v>13690922.199999999</v>
          </cell>
          <cell r="G519">
            <v>0</v>
          </cell>
          <cell r="H519">
            <v>0</v>
          </cell>
        </row>
        <row r="520">
          <cell r="A520">
            <v>6010311</v>
          </cell>
          <cell r="B520">
            <v>6010311</v>
          </cell>
          <cell r="C520" t="str">
            <v xml:space="preserve"> REKENING ANTAR KTR BEKASI ( DPT $ ) </v>
          </cell>
          <cell r="D520">
            <v>0</v>
          </cell>
          <cell r="E520">
            <v>2288841.5499999998</v>
          </cell>
          <cell r="F520">
            <v>2288841.5499999998</v>
          </cell>
          <cell r="G520">
            <v>0</v>
          </cell>
          <cell r="H520">
            <v>0</v>
          </cell>
        </row>
        <row r="521">
          <cell r="A521">
            <v>6010315</v>
          </cell>
          <cell r="B521">
            <v>6010315</v>
          </cell>
          <cell r="C521" t="str">
            <v xml:space="preserve"> REKENING ATR KTR DKI 6 PD INDAH(DPT$) </v>
          </cell>
          <cell r="D521">
            <v>-0.49</v>
          </cell>
          <cell r="E521">
            <v>5464987.9400000004</v>
          </cell>
          <cell r="F521">
            <v>5464987.9400000004</v>
          </cell>
          <cell r="G521">
            <v>-0.49000000022351742</v>
          </cell>
          <cell r="H521">
            <v>0</v>
          </cell>
        </row>
        <row r="522">
          <cell r="A522">
            <v>6010317</v>
          </cell>
          <cell r="B522">
            <v>6010317</v>
          </cell>
          <cell r="C522" t="str">
            <v xml:space="preserve"> REKENING ANTAR KANTOR BANDUNG(DPT$) </v>
          </cell>
          <cell r="D522">
            <v>0</v>
          </cell>
          <cell r="E522">
            <v>8789905</v>
          </cell>
          <cell r="F522">
            <v>8789905</v>
          </cell>
          <cell r="G522">
            <v>0</v>
          </cell>
          <cell r="H522">
            <v>0</v>
          </cell>
        </row>
        <row r="523">
          <cell r="A523">
            <v>6010319</v>
          </cell>
          <cell r="B523">
            <v>6010319</v>
          </cell>
          <cell r="C523" t="str">
            <v xml:space="preserve"> REKENING ANTAR KTR SEMARANG ( DPT$ ) </v>
          </cell>
          <cell r="D523">
            <v>-0.01</v>
          </cell>
          <cell r="E523">
            <v>2907237</v>
          </cell>
          <cell r="F523">
            <v>2907237</v>
          </cell>
          <cell r="G523">
            <v>-9.9999997764825821E-3</v>
          </cell>
          <cell r="H523">
            <v>0</v>
          </cell>
        </row>
        <row r="524">
          <cell r="A524">
            <v>6010321</v>
          </cell>
          <cell r="B524">
            <v>6010321</v>
          </cell>
          <cell r="C524" t="str">
            <v xml:space="preserve"> REKENING ANTAR KANTOR YOGYAKARTA(DPT$) </v>
          </cell>
          <cell r="D524">
            <v>0.99</v>
          </cell>
          <cell r="E524">
            <v>0</v>
          </cell>
          <cell r="F524">
            <v>0</v>
          </cell>
          <cell r="G524">
            <v>0.99</v>
          </cell>
          <cell r="H524">
            <v>0</v>
          </cell>
        </row>
        <row r="525">
          <cell r="A525">
            <v>6010327</v>
          </cell>
          <cell r="B525">
            <v>6010327</v>
          </cell>
          <cell r="C525" t="str">
            <v xml:space="preserve"> REKENING ANTAR KTR MEDAN ( DPT$ ) </v>
          </cell>
          <cell r="D525">
            <v>0</v>
          </cell>
          <cell r="E525">
            <v>7327000</v>
          </cell>
          <cell r="F525">
            <v>7327000</v>
          </cell>
          <cell r="G525">
            <v>0</v>
          </cell>
          <cell r="H525">
            <v>0</v>
          </cell>
        </row>
        <row r="526">
          <cell r="A526">
            <v>6010328</v>
          </cell>
          <cell r="B526">
            <v>6010328</v>
          </cell>
          <cell r="C526" t="str">
            <v xml:space="preserve"> REKENING ANTAR KANTOR PALEMBANG(DPT$) </v>
          </cell>
          <cell r="D526">
            <v>-0.81</v>
          </cell>
          <cell r="E526">
            <v>4585000</v>
          </cell>
          <cell r="F526">
            <v>4585000</v>
          </cell>
          <cell r="G526">
            <v>-0.80999999959021807</v>
          </cell>
          <cell r="H526">
            <v>0</v>
          </cell>
        </row>
        <row r="527">
          <cell r="A527">
            <v>6010329</v>
          </cell>
          <cell r="B527">
            <v>6010329</v>
          </cell>
          <cell r="C527" t="str">
            <v xml:space="preserve"> REKENING ANTAR KANTOR JAMBI (DPT$) </v>
          </cell>
          <cell r="D527">
            <v>1.07</v>
          </cell>
          <cell r="E527">
            <v>0</v>
          </cell>
          <cell r="F527">
            <v>0</v>
          </cell>
          <cell r="G527">
            <v>1.07</v>
          </cell>
          <cell r="H527">
            <v>0</v>
          </cell>
        </row>
        <row r="528">
          <cell r="A528">
            <v>6010336</v>
          </cell>
          <cell r="B528">
            <v>6010336</v>
          </cell>
          <cell r="C528" t="str">
            <v xml:space="preserve"> REKENING ATR KTR SAMARINDA (DPT$) </v>
          </cell>
          <cell r="D528">
            <v>0</v>
          </cell>
          <cell r="E528">
            <v>457500</v>
          </cell>
          <cell r="F528">
            <v>457500</v>
          </cell>
          <cell r="G528">
            <v>0</v>
          </cell>
          <cell r="H528">
            <v>0</v>
          </cell>
        </row>
        <row r="529">
          <cell r="A529">
            <v>6010337</v>
          </cell>
          <cell r="B529">
            <v>6010337</v>
          </cell>
          <cell r="C529" t="str">
            <v xml:space="preserve"> REKENING ANTAR KTR BONTANG ( DPT $ ) </v>
          </cell>
          <cell r="D529">
            <v>0.47</v>
          </cell>
          <cell r="E529">
            <v>2754400</v>
          </cell>
          <cell r="F529">
            <v>2754400</v>
          </cell>
          <cell r="G529">
            <v>0.47000000020489097</v>
          </cell>
          <cell r="H529">
            <v>0</v>
          </cell>
        </row>
        <row r="530">
          <cell r="A530">
            <v>6010338</v>
          </cell>
          <cell r="B530">
            <v>6010338</v>
          </cell>
          <cell r="C530" t="str">
            <v xml:space="preserve"> REKENING ANTAR KTR BALIKPAPAN ( DPT $ ) </v>
          </cell>
          <cell r="D530">
            <v>0</v>
          </cell>
          <cell r="E530">
            <v>7060101.1500000004</v>
          </cell>
          <cell r="F530">
            <v>7060101.1500000004</v>
          </cell>
          <cell r="G530">
            <v>0</v>
          </cell>
          <cell r="H530">
            <v>0</v>
          </cell>
        </row>
        <row r="531">
          <cell r="A531">
            <v>6010347</v>
          </cell>
          <cell r="B531">
            <v>6010347</v>
          </cell>
          <cell r="C531" t="str">
            <v xml:space="preserve"> REKENING ANTAR KANTOR EKSEKUTIF IND DPT$ </v>
          </cell>
          <cell r="D531">
            <v>0</v>
          </cell>
          <cell r="E531">
            <v>4572500</v>
          </cell>
          <cell r="F531">
            <v>4572500</v>
          </cell>
          <cell r="G531">
            <v>0</v>
          </cell>
          <cell r="H531">
            <v>0</v>
          </cell>
        </row>
        <row r="532">
          <cell r="A532">
            <v>6010501</v>
          </cell>
          <cell r="B532">
            <v>6010501</v>
          </cell>
          <cell r="C532" t="str">
            <v xml:space="preserve"> REKENING ANTAR DANA CURRENT ACCOUNT </v>
          </cell>
          <cell r="D532">
            <v>0</v>
          </cell>
          <cell r="E532">
            <v>3100000000</v>
          </cell>
          <cell r="F532">
            <v>3100000000</v>
          </cell>
          <cell r="G532">
            <v>0</v>
          </cell>
          <cell r="H532">
            <v>0</v>
          </cell>
        </row>
        <row r="533">
          <cell r="A533">
            <v>6010601</v>
          </cell>
          <cell r="B533">
            <v>6010601</v>
          </cell>
          <cell r="C533" t="str">
            <v xml:space="preserve"> REKENING ANTAR DANA CURRENT ACCOUNT </v>
          </cell>
          <cell r="D533">
            <v>0</v>
          </cell>
          <cell r="E533">
            <v>6410712315.6800003</v>
          </cell>
          <cell r="F533">
            <v>6410712315.6800003</v>
          </cell>
          <cell r="G533">
            <v>0</v>
          </cell>
          <cell r="H533">
            <v>0</v>
          </cell>
        </row>
        <row r="534">
          <cell r="A534">
            <v>6010602</v>
          </cell>
          <cell r="B534">
            <v>6010602</v>
          </cell>
          <cell r="C534" t="str">
            <v xml:space="preserve"> REKENING ANTAR DANA KLAIM </v>
          </cell>
          <cell r="D534">
            <v>0</v>
          </cell>
          <cell r="E534">
            <v>4480588.58</v>
          </cell>
          <cell r="F534">
            <v>4480588.58</v>
          </cell>
          <cell r="G534">
            <v>0</v>
          </cell>
          <cell r="H534">
            <v>0</v>
          </cell>
        </row>
        <row r="535">
          <cell r="A535">
            <v>6010603</v>
          </cell>
          <cell r="B535">
            <v>6010603</v>
          </cell>
          <cell r="C535" t="str">
            <v xml:space="preserve"> REKENING ANTAR DANA PREMI </v>
          </cell>
          <cell r="D535">
            <v>3</v>
          </cell>
          <cell r="E535">
            <v>4025000</v>
          </cell>
          <cell r="F535">
            <v>4025000</v>
          </cell>
          <cell r="G535">
            <v>3</v>
          </cell>
          <cell r="H535">
            <v>0</v>
          </cell>
        </row>
        <row r="536">
          <cell r="A536">
            <v>6010701</v>
          </cell>
          <cell r="B536">
            <v>6010701</v>
          </cell>
          <cell r="C536" t="str">
            <v xml:space="preserve"> REKENING ANTAR BUKU Rp ke USD </v>
          </cell>
          <cell r="D536">
            <v>-14112000</v>
          </cell>
          <cell r="E536">
            <v>30452750</v>
          </cell>
          <cell r="F536">
            <v>30452750</v>
          </cell>
          <cell r="G536">
            <v>-14112000</v>
          </cell>
          <cell r="H536">
            <v>0</v>
          </cell>
        </row>
        <row r="537">
          <cell r="A537">
            <v>6010702</v>
          </cell>
          <cell r="B537">
            <v>6010702</v>
          </cell>
          <cell r="C537" t="str">
            <v xml:space="preserve"> REKENING ANTAR BUKU USD ke Rp </v>
          </cell>
          <cell r="D537">
            <v>0.43</v>
          </cell>
          <cell r="E537">
            <v>12404090</v>
          </cell>
          <cell r="F537">
            <v>12404090</v>
          </cell>
          <cell r="G537">
            <v>0.42999999970197678</v>
          </cell>
          <cell r="H537">
            <v>0</v>
          </cell>
        </row>
        <row r="538">
          <cell r="A538">
            <v>6010801</v>
          </cell>
          <cell r="B538">
            <v>6010801</v>
          </cell>
          <cell r="C538" t="str">
            <v xml:space="preserve"> REKENING ANTAR PREMI DARI KLAIM Rp </v>
          </cell>
          <cell r="D538">
            <v>7.02</v>
          </cell>
          <cell r="E538">
            <v>509825064.5</v>
          </cell>
          <cell r="F538">
            <v>509825064.5</v>
          </cell>
          <cell r="G538">
            <v>7.0199999809265137</v>
          </cell>
          <cell r="H538">
            <v>0</v>
          </cell>
        </row>
        <row r="539">
          <cell r="A539">
            <v>6010802</v>
          </cell>
          <cell r="B539">
            <v>6010802</v>
          </cell>
          <cell r="C539" t="str">
            <v xml:space="preserve"> REKENING ANTAR PREMI DARI KLAIM USD </v>
          </cell>
          <cell r="D539">
            <v>0.25</v>
          </cell>
          <cell r="E539">
            <v>14965187.4</v>
          </cell>
          <cell r="F539">
            <v>14965187.4</v>
          </cell>
          <cell r="G539">
            <v>0.25</v>
          </cell>
          <cell r="H539">
            <v>0</v>
          </cell>
        </row>
        <row r="540">
          <cell r="A540">
            <v>6011101</v>
          </cell>
          <cell r="B540">
            <v>6011101</v>
          </cell>
          <cell r="C540" t="str">
            <v xml:space="preserve"> REKENING ANTAR BUKU DPS </v>
          </cell>
          <cell r="D540">
            <v>0</v>
          </cell>
          <cell r="E540">
            <v>20000000</v>
          </cell>
          <cell r="F540">
            <v>20000000</v>
          </cell>
          <cell r="G540">
            <v>0</v>
          </cell>
          <cell r="H540">
            <v>0</v>
          </cell>
        </row>
        <row r="541">
          <cell r="A541">
            <v>6011102</v>
          </cell>
          <cell r="B541">
            <v>6011102</v>
          </cell>
          <cell r="C541" t="str">
            <v xml:space="preserve"> REKENING ANTAR BUKU DPT Rp </v>
          </cell>
          <cell r="D541">
            <v>-100682424.14</v>
          </cell>
          <cell r="E541">
            <v>4548867189.1899996</v>
          </cell>
          <cell r="F541">
            <v>4548867189.1899996</v>
          </cell>
          <cell r="G541">
            <v>-100682424.14000034</v>
          </cell>
          <cell r="H541">
            <v>0</v>
          </cell>
        </row>
        <row r="542">
          <cell r="A542">
            <v>6011103</v>
          </cell>
          <cell r="B542">
            <v>6011103</v>
          </cell>
          <cell r="C542" t="str">
            <v xml:space="preserve"> REKENING ANTAR BUKU DPT $ </v>
          </cell>
          <cell r="D542">
            <v>0.4</v>
          </cell>
          <cell r="E542">
            <v>95000049</v>
          </cell>
          <cell r="F542">
            <v>95000049</v>
          </cell>
          <cell r="G542">
            <v>0.40000000596046448</v>
          </cell>
          <cell r="H542">
            <v>0</v>
          </cell>
        </row>
        <row r="543">
          <cell r="A543">
            <v>6011202</v>
          </cell>
          <cell r="B543">
            <v>6011202</v>
          </cell>
          <cell r="C543" t="str">
            <v xml:space="preserve"> REKENING ANTAR DANA DPT Rp </v>
          </cell>
          <cell r="D543">
            <v>0</v>
          </cell>
          <cell r="E543">
            <v>367000</v>
          </cell>
          <cell r="F543">
            <v>367000</v>
          </cell>
          <cell r="G543">
            <v>0</v>
          </cell>
          <cell r="H543">
            <v>0</v>
          </cell>
        </row>
        <row r="544">
          <cell r="A544">
            <v>6011203</v>
          </cell>
          <cell r="B544">
            <v>6011203</v>
          </cell>
          <cell r="C544" t="str">
            <v xml:space="preserve"> REKENING ANTAR DANA DPT $ </v>
          </cell>
          <cell r="D544">
            <v>0</v>
          </cell>
          <cell r="E544">
            <v>13717500</v>
          </cell>
          <cell r="F544">
            <v>13717500</v>
          </cell>
          <cell r="G544">
            <v>0</v>
          </cell>
          <cell r="H544">
            <v>0</v>
          </cell>
        </row>
        <row r="545">
          <cell r="A545">
            <v>6011301</v>
          </cell>
          <cell r="B545">
            <v>6011301</v>
          </cell>
          <cell r="C545" t="str">
            <v xml:space="preserve"> REKENING PENAMPUNG DPS </v>
          </cell>
          <cell r="D545">
            <v>-0.37</v>
          </cell>
          <cell r="E545">
            <v>744.18</v>
          </cell>
          <cell r="F545">
            <v>744.18</v>
          </cell>
          <cell r="G545">
            <v>-0.37000000000000455</v>
          </cell>
          <cell r="H545">
            <v>0</v>
          </cell>
        </row>
        <row r="546">
          <cell r="A546">
            <v>6011302</v>
          </cell>
          <cell r="B546">
            <v>6011302</v>
          </cell>
          <cell r="C546" t="str">
            <v xml:space="preserve"> REKENING PENAMPUNG DPT RUPIAH </v>
          </cell>
          <cell r="D546">
            <v>-433.2</v>
          </cell>
          <cell r="E546">
            <v>121368.3</v>
          </cell>
          <cell r="F546">
            <v>121368.3</v>
          </cell>
          <cell r="G546">
            <v>-433.19999999999709</v>
          </cell>
          <cell r="H546">
            <v>0</v>
          </cell>
        </row>
        <row r="547">
          <cell r="A547">
            <v>6011303</v>
          </cell>
          <cell r="B547">
            <v>6011303</v>
          </cell>
          <cell r="C547" t="str">
            <v xml:space="preserve"> REKENING PENAMPUNG DPT USD </v>
          </cell>
          <cell r="D547">
            <v>0</v>
          </cell>
          <cell r="E547">
            <v>91</v>
          </cell>
          <cell r="F547">
            <v>91</v>
          </cell>
          <cell r="G547">
            <v>0</v>
          </cell>
          <cell r="H547">
            <v>0</v>
          </cell>
        </row>
        <row r="548">
          <cell r="A548">
            <v>9010101</v>
          </cell>
          <cell r="B548">
            <v>9010101</v>
          </cell>
          <cell r="C548" t="str">
            <v xml:space="preserve"> REKENING TOLAKAN COMPUTER RP </v>
          </cell>
          <cell r="D548">
            <v>-75887480.329999998</v>
          </cell>
          <cell r="E548">
            <v>111505125</v>
          </cell>
          <cell r="F548">
            <v>111505125</v>
          </cell>
          <cell r="G548">
            <v>-75887480.329999998</v>
          </cell>
          <cell r="H548">
            <v>0</v>
          </cell>
        </row>
        <row r="549">
          <cell r="A549">
            <v>9010102</v>
          </cell>
          <cell r="B549">
            <v>9010102</v>
          </cell>
          <cell r="C549" t="str">
            <v xml:space="preserve"> REKENING TOLAKAN COMPUTER USD </v>
          </cell>
          <cell r="D549">
            <v>0</v>
          </cell>
          <cell r="E549">
            <v>3847057.2</v>
          </cell>
          <cell r="F549">
            <v>3847057.2</v>
          </cell>
          <cell r="G549">
            <v>0</v>
          </cell>
          <cell r="H549">
            <v>0</v>
          </cell>
        </row>
        <row r="550">
          <cell r="A550">
            <v>0</v>
          </cell>
          <cell r="H550">
            <v>0</v>
          </cell>
        </row>
        <row r="551">
          <cell r="A551">
            <v>0</v>
          </cell>
          <cell r="H551">
            <v>0</v>
          </cell>
        </row>
        <row r="552">
          <cell r="A552">
            <v>0</v>
          </cell>
          <cell r="H552">
            <v>0</v>
          </cell>
        </row>
        <row r="553">
          <cell r="A553">
            <v>0</v>
          </cell>
          <cell r="H553">
            <v>0</v>
          </cell>
        </row>
        <row r="554">
          <cell r="A554">
            <v>0</v>
          </cell>
          <cell r="H554">
            <v>0</v>
          </cell>
        </row>
        <row r="555">
          <cell r="A555">
            <v>0</v>
          </cell>
          <cell r="H555">
            <v>0</v>
          </cell>
        </row>
        <row r="556">
          <cell r="A556">
            <v>0</v>
          </cell>
          <cell r="H556">
            <v>0</v>
          </cell>
        </row>
        <row r="557">
          <cell r="A557">
            <v>0</v>
          </cell>
          <cell r="H557">
            <v>0</v>
          </cell>
        </row>
        <row r="558">
          <cell r="A558">
            <v>0</v>
          </cell>
          <cell r="H558">
            <v>0</v>
          </cell>
        </row>
        <row r="559">
          <cell r="A559">
            <v>0</v>
          </cell>
          <cell r="H559">
            <v>0</v>
          </cell>
        </row>
        <row r="560">
          <cell r="A560">
            <v>0</v>
          </cell>
          <cell r="H560">
            <v>0</v>
          </cell>
        </row>
        <row r="561">
          <cell r="A561">
            <v>0</v>
          </cell>
          <cell r="H561">
            <v>0</v>
          </cell>
        </row>
        <row r="562">
          <cell r="A562">
            <v>0</v>
          </cell>
          <cell r="H562">
            <v>0</v>
          </cell>
        </row>
        <row r="563">
          <cell r="A563">
            <v>0</v>
          </cell>
          <cell r="H563">
            <v>0</v>
          </cell>
        </row>
        <row r="564">
          <cell r="A564">
            <v>0</v>
          </cell>
          <cell r="H564">
            <v>0</v>
          </cell>
        </row>
        <row r="565">
          <cell r="A565">
            <v>0</v>
          </cell>
          <cell r="H565">
            <v>0</v>
          </cell>
        </row>
        <row r="566">
          <cell r="A566">
            <v>0</v>
          </cell>
          <cell r="H566">
            <v>0</v>
          </cell>
        </row>
        <row r="567">
          <cell r="A567">
            <v>0</v>
          </cell>
          <cell r="H567">
            <v>0</v>
          </cell>
        </row>
        <row r="568">
          <cell r="A568">
            <v>0</v>
          </cell>
          <cell r="H568">
            <v>0</v>
          </cell>
        </row>
        <row r="569">
          <cell r="A569">
            <v>0</v>
          </cell>
          <cell r="H569">
            <v>0</v>
          </cell>
        </row>
        <row r="570">
          <cell r="A570">
            <v>0</v>
          </cell>
          <cell r="H570">
            <v>0</v>
          </cell>
        </row>
        <row r="571">
          <cell r="A571">
            <v>0</v>
          </cell>
          <cell r="H571">
            <v>0</v>
          </cell>
        </row>
        <row r="572">
          <cell r="A572">
            <v>0</v>
          </cell>
          <cell r="H572">
            <v>0</v>
          </cell>
        </row>
        <row r="573">
          <cell r="A573">
            <v>0</v>
          </cell>
          <cell r="H573">
            <v>0</v>
          </cell>
        </row>
        <row r="574">
          <cell r="A574">
            <v>0</v>
          </cell>
          <cell r="H574">
            <v>0</v>
          </cell>
        </row>
        <row r="575">
          <cell r="A575">
            <v>0</v>
          </cell>
          <cell r="H575">
            <v>0</v>
          </cell>
        </row>
        <row r="576">
          <cell r="A576">
            <v>0</v>
          </cell>
          <cell r="H576">
            <v>0</v>
          </cell>
        </row>
        <row r="577">
          <cell r="A577">
            <v>0</v>
          </cell>
          <cell r="H577">
            <v>0</v>
          </cell>
        </row>
        <row r="578">
          <cell r="A578">
            <v>0</v>
          </cell>
          <cell r="H578">
            <v>0</v>
          </cell>
        </row>
        <row r="579">
          <cell r="A579">
            <v>0</v>
          </cell>
          <cell r="H579">
            <v>0</v>
          </cell>
        </row>
        <row r="580">
          <cell r="A580">
            <v>0</v>
          </cell>
          <cell r="H580">
            <v>0</v>
          </cell>
        </row>
        <row r="581">
          <cell r="A581">
            <v>0</v>
          </cell>
          <cell r="H581">
            <v>0</v>
          </cell>
        </row>
        <row r="582">
          <cell r="A582">
            <v>0</v>
          </cell>
          <cell r="H582">
            <v>0</v>
          </cell>
        </row>
        <row r="583">
          <cell r="A583">
            <v>0</v>
          </cell>
          <cell r="H583">
            <v>0</v>
          </cell>
        </row>
        <row r="584">
          <cell r="A584">
            <v>0</v>
          </cell>
          <cell r="H584">
            <v>0</v>
          </cell>
        </row>
        <row r="585">
          <cell r="A585">
            <v>0</v>
          </cell>
          <cell r="H585">
            <v>0</v>
          </cell>
        </row>
        <row r="586">
          <cell r="A586">
            <v>0</v>
          </cell>
          <cell r="H586">
            <v>0</v>
          </cell>
        </row>
        <row r="587">
          <cell r="A587">
            <v>0</v>
          </cell>
          <cell r="H587">
            <v>0</v>
          </cell>
        </row>
        <row r="588">
          <cell r="A588">
            <v>0</v>
          </cell>
          <cell r="H588">
            <v>0</v>
          </cell>
        </row>
        <row r="589">
          <cell r="A589">
            <v>0</v>
          </cell>
          <cell r="H589">
            <v>0</v>
          </cell>
        </row>
        <row r="590">
          <cell r="A590">
            <v>0</v>
          </cell>
          <cell r="H590">
            <v>0</v>
          </cell>
        </row>
        <row r="591">
          <cell r="A591">
            <v>0</v>
          </cell>
          <cell r="H591">
            <v>0</v>
          </cell>
        </row>
        <row r="592">
          <cell r="A592">
            <v>0</v>
          </cell>
          <cell r="H592">
            <v>0</v>
          </cell>
        </row>
        <row r="593">
          <cell r="A593">
            <v>0</v>
          </cell>
          <cell r="H593">
            <v>0</v>
          </cell>
        </row>
        <row r="594">
          <cell r="A594">
            <v>0</v>
          </cell>
          <cell r="H594">
            <v>0</v>
          </cell>
        </row>
        <row r="595">
          <cell r="A595">
            <v>0</v>
          </cell>
          <cell r="H595">
            <v>0</v>
          </cell>
        </row>
        <row r="596">
          <cell r="A596">
            <v>0</v>
          </cell>
          <cell r="H596">
            <v>0</v>
          </cell>
        </row>
        <row r="597">
          <cell r="A597">
            <v>0</v>
          </cell>
          <cell r="H597">
            <v>0</v>
          </cell>
        </row>
        <row r="598">
          <cell r="A598">
            <v>0</v>
          </cell>
          <cell r="H598">
            <v>0</v>
          </cell>
        </row>
        <row r="599">
          <cell r="A599">
            <v>0</v>
          </cell>
          <cell r="H599">
            <v>0</v>
          </cell>
        </row>
        <row r="600">
          <cell r="A600">
            <v>0</v>
          </cell>
          <cell r="H600">
            <v>0</v>
          </cell>
        </row>
        <row r="601">
          <cell r="A601">
            <v>0</v>
          </cell>
          <cell r="H601">
            <v>0</v>
          </cell>
        </row>
        <row r="602">
          <cell r="A602">
            <v>0</v>
          </cell>
          <cell r="H602">
            <v>0</v>
          </cell>
        </row>
        <row r="603">
          <cell r="A603">
            <v>0</v>
          </cell>
          <cell r="H603">
            <v>0</v>
          </cell>
        </row>
        <row r="604">
          <cell r="A604">
            <v>0</v>
          </cell>
          <cell r="H604">
            <v>0</v>
          </cell>
        </row>
        <row r="605">
          <cell r="A605">
            <v>0</v>
          </cell>
          <cell r="H605">
            <v>0</v>
          </cell>
        </row>
        <row r="606">
          <cell r="A606">
            <v>0</v>
          </cell>
          <cell r="H606">
            <v>0</v>
          </cell>
        </row>
        <row r="607">
          <cell r="A607">
            <v>0</v>
          </cell>
          <cell r="H607">
            <v>0</v>
          </cell>
        </row>
        <row r="608">
          <cell r="A608">
            <v>0</v>
          </cell>
          <cell r="H608">
            <v>0</v>
          </cell>
        </row>
        <row r="609">
          <cell r="A609">
            <v>0</v>
          </cell>
          <cell r="H609">
            <v>0</v>
          </cell>
        </row>
        <row r="610">
          <cell r="A610">
            <v>0</v>
          </cell>
          <cell r="H610">
            <v>0</v>
          </cell>
        </row>
        <row r="611">
          <cell r="A611">
            <v>0</v>
          </cell>
          <cell r="H611">
            <v>0</v>
          </cell>
        </row>
        <row r="612">
          <cell r="A612">
            <v>0</v>
          </cell>
          <cell r="H612">
            <v>0</v>
          </cell>
        </row>
        <row r="613">
          <cell r="A613">
            <v>0</v>
          </cell>
          <cell r="H613">
            <v>0</v>
          </cell>
        </row>
        <row r="614">
          <cell r="A614">
            <v>0</v>
          </cell>
          <cell r="H614">
            <v>0</v>
          </cell>
        </row>
        <row r="615">
          <cell r="A615">
            <v>0</v>
          </cell>
          <cell r="H615">
            <v>0</v>
          </cell>
        </row>
        <row r="616">
          <cell r="A616">
            <v>0</v>
          </cell>
          <cell r="H616">
            <v>0</v>
          </cell>
        </row>
        <row r="617">
          <cell r="A617">
            <v>0</v>
          </cell>
          <cell r="H617">
            <v>0</v>
          </cell>
        </row>
        <row r="618">
          <cell r="A618">
            <v>0</v>
          </cell>
          <cell r="H618">
            <v>0</v>
          </cell>
        </row>
        <row r="619">
          <cell r="A619">
            <v>0</v>
          </cell>
          <cell r="H619">
            <v>0</v>
          </cell>
        </row>
        <row r="620">
          <cell r="A620">
            <v>0</v>
          </cell>
          <cell r="H620">
            <v>0</v>
          </cell>
        </row>
        <row r="621">
          <cell r="A621">
            <v>0</v>
          </cell>
          <cell r="H621">
            <v>0</v>
          </cell>
        </row>
        <row r="622">
          <cell r="A622">
            <v>0</v>
          </cell>
          <cell r="H622">
            <v>0</v>
          </cell>
        </row>
        <row r="623">
          <cell r="A623">
            <v>0</v>
          </cell>
          <cell r="H623">
            <v>0</v>
          </cell>
        </row>
        <row r="624">
          <cell r="A624">
            <v>0</v>
          </cell>
          <cell r="H624">
            <v>0</v>
          </cell>
        </row>
        <row r="625">
          <cell r="A625">
            <v>0</v>
          </cell>
          <cell r="H625">
            <v>0</v>
          </cell>
        </row>
        <row r="626">
          <cell r="A626">
            <v>0</v>
          </cell>
          <cell r="H626">
            <v>0</v>
          </cell>
        </row>
        <row r="627">
          <cell r="A627">
            <v>0</v>
          </cell>
          <cell r="H627">
            <v>0</v>
          </cell>
        </row>
        <row r="628">
          <cell r="A628">
            <v>0</v>
          </cell>
          <cell r="H628">
            <v>0</v>
          </cell>
        </row>
        <row r="629">
          <cell r="A629">
            <v>0</v>
          </cell>
          <cell r="H629">
            <v>0</v>
          </cell>
        </row>
        <row r="630">
          <cell r="A630">
            <v>0</v>
          </cell>
          <cell r="H630">
            <v>0</v>
          </cell>
        </row>
        <row r="631">
          <cell r="A631">
            <v>0</v>
          </cell>
          <cell r="H631">
            <v>0</v>
          </cell>
        </row>
        <row r="632">
          <cell r="A632">
            <v>0</v>
          </cell>
          <cell r="H632">
            <v>0</v>
          </cell>
        </row>
        <row r="633">
          <cell r="A633">
            <v>0</v>
          </cell>
          <cell r="H633">
            <v>0</v>
          </cell>
        </row>
        <row r="634">
          <cell r="A634">
            <v>0</v>
          </cell>
          <cell r="H634">
            <v>0</v>
          </cell>
        </row>
        <row r="635">
          <cell r="A635">
            <v>0</v>
          </cell>
          <cell r="H635">
            <v>0</v>
          </cell>
        </row>
        <row r="636">
          <cell r="A636">
            <v>0</v>
          </cell>
          <cell r="H636">
            <v>0</v>
          </cell>
        </row>
        <row r="637">
          <cell r="A637">
            <v>0</v>
          </cell>
          <cell r="H637">
            <v>0</v>
          </cell>
        </row>
        <row r="638">
          <cell r="A638">
            <v>0</v>
          </cell>
          <cell r="H638">
            <v>0</v>
          </cell>
        </row>
        <row r="639">
          <cell r="A639">
            <v>0</v>
          </cell>
          <cell r="H639">
            <v>0</v>
          </cell>
        </row>
        <row r="640">
          <cell r="A640">
            <v>0</v>
          </cell>
          <cell r="H640">
            <v>0</v>
          </cell>
        </row>
        <row r="641">
          <cell r="A641">
            <v>0</v>
          </cell>
          <cell r="H641">
            <v>0</v>
          </cell>
        </row>
        <row r="642">
          <cell r="A642">
            <v>0</v>
          </cell>
          <cell r="H642">
            <v>0</v>
          </cell>
        </row>
        <row r="643">
          <cell r="A643">
            <v>0</v>
          </cell>
          <cell r="H643">
            <v>0</v>
          </cell>
        </row>
        <row r="644">
          <cell r="A644">
            <v>0</v>
          </cell>
          <cell r="H644">
            <v>0</v>
          </cell>
        </row>
        <row r="645">
          <cell r="A645">
            <v>0</v>
          </cell>
          <cell r="H645">
            <v>0</v>
          </cell>
        </row>
        <row r="646">
          <cell r="A646">
            <v>0</v>
          </cell>
          <cell r="H646">
            <v>0</v>
          </cell>
        </row>
        <row r="647">
          <cell r="A647">
            <v>0</v>
          </cell>
          <cell r="H647">
            <v>0</v>
          </cell>
        </row>
        <row r="648">
          <cell r="A648">
            <v>0</v>
          </cell>
          <cell r="H648">
            <v>0</v>
          </cell>
        </row>
        <row r="649">
          <cell r="A649">
            <v>0</v>
          </cell>
          <cell r="H649">
            <v>0</v>
          </cell>
        </row>
        <row r="650">
          <cell r="A650">
            <v>0</v>
          </cell>
          <cell r="H650">
            <v>0</v>
          </cell>
        </row>
        <row r="651">
          <cell r="A651">
            <v>0</v>
          </cell>
          <cell r="H651">
            <v>0</v>
          </cell>
        </row>
        <row r="652">
          <cell r="A652">
            <v>0</v>
          </cell>
          <cell r="H652">
            <v>0</v>
          </cell>
        </row>
        <row r="653">
          <cell r="A653">
            <v>0</v>
          </cell>
          <cell r="H653">
            <v>0</v>
          </cell>
        </row>
        <row r="654">
          <cell r="A654">
            <v>0</v>
          </cell>
          <cell r="H654">
            <v>0</v>
          </cell>
        </row>
        <row r="655">
          <cell r="A655">
            <v>0</v>
          </cell>
          <cell r="H655">
            <v>0</v>
          </cell>
        </row>
        <row r="656">
          <cell r="A656">
            <v>0</v>
          </cell>
          <cell r="H656">
            <v>0</v>
          </cell>
        </row>
        <row r="657">
          <cell r="A657">
            <v>0</v>
          </cell>
          <cell r="H657">
            <v>0</v>
          </cell>
        </row>
        <row r="658">
          <cell r="A658">
            <v>0</v>
          </cell>
          <cell r="H658">
            <v>0</v>
          </cell>
        </row>
        <row r="659">
          <cell r="A659">
            <v>0</v>
          </cell>
          <cell r="H659">
            <v>0</v>
          </cell>
        </row>
        <row r="660">
          <cell r="A660">
            <v>0</v>
          </cell>
          <cell r="H660">
            <v>0</v>
          </cell>
        </row>
        <row r="661">
          <cell r="A661">
            <v>0</v>
          </cell>
          <cell r="H661">
            <v>0</v>
          </cell>
        </row>
        <row r="662">
          <cell r="A662">
            <v>0</v>
          </cell>
          <cell r="H662">
            <v>0</v>
          </cell>
        </row>
        <row r="663">
          <cell r="A663">
            <v>0</v>
          </cell>
          <cell r="H663">
            <v>0</v>
          </cell>
        </row>
        <row r="664">
          <cell r="A664">
            <v>0</v>
          </cell>
          <cell r="H664">
            <v>0</v>
          </cell>
        </row>
        <row r="665">
          <cell r="A665">
            <v>0</v>
          </cell>
          <cell r="H665">
            <v>0</v>
          </cell>
        </row>
        <row r="666">
          <cell r="A666">
            <v>0</v>
          </cell>
          <cell r="H666">
            <v>0</v>
          </cell>
        </row>
        <row r="667">
          <cell r="A667">
            <v>0</v>
          </cell>
          <cell r="H667">
            <v>0</v>
          </cell>
        </row>
        <row r="668">
          <cell r="A668">
            <v>0</v>
          </cell>
          <cell r="H668">
            <v>0</v>
          </cell>
        </row>
        <row r="669">
          <cell r="A669">
            <v>0</v>
          </cell>
          <cell r="H669">
            <v>0</v>
          </cell>
        </row>
        <row r="670">
          <cell r="A670">
            <v>0</v>
          </cell>
          <cell r="H670">
            <v>0</v>
          </cell>
        </row>
        <row r="671">
          <cell r="A671">
            <v>0</v>
          </cell>
          <cell r="H671">
            <v>0</v>
          </cell>
        </row>
        <row r="672">
          <cell r="A672">
            <v>0</v>
          </cell>
          <cell r="H672">
            <v>0</v>
          </cell>
        </row>
        <row r="673">
          <cell r="A673">
            <v>0</v>
          </cell>
          <cell r="H673">
            <v>0</v>
          </cell>
        </row>
        <row r="674">
          <cell r="A674">
            <v>0</v>
          </cell>
          <cell r="H674">
            <v>0</v>
          </cell>
        </row>
        <row r="675">
          <cell r="A675">
            <v>0</v>
          </cell>
          <cell r="H675">
            <v>0</v>
          </cell>
        </row>
        <row r="676">
          <cell r="A676">
            <v>0</v>
          </cell>
          <cell r="H676">
            <v>0</v>
          </cell>
        </row>
        <row r="677">
          <cell r="A677">
            <v>0</v>
          </cell>
          <cell r="H677">
            <v>0</v>
          </cell>
        </row>
        <row r="678">
          <cell r="A678">
            <v>0</v>
          </cell>
          <cell r="H678">
            <v>0</v>
          </cell>
        </row>
        <row r="679">
          <cell r="A679">
            <v>0</v>
          </cell>
          <cell r="H679">
            <v>0</v>
          </cell>
        </row>
        <row r="680">
          <cell r="A680">
            <v>0</v>
          </cell>
          <cell r="H680">
            <v>0</v>
          </cell>
        </row>
        <row r="681">
          <cell r="A681">
            <v>0</v>
          </cell>
          <cell r="H681">
            <v>0</v>
          </cell>
        </row>
        <row r="682">
          <cell r="A682">
            <v>0</v>
          </cell>
          <cell r="H682">
            <v>0</v>
          </cell>
        </row>
        <row r="683">
          <cell r="A683">
            <v>0</v>
          </cell>
          <cell r="H683">
            <v>0</v>
          </cell>
        </row>
        <row r="684">
          <cell r="A684">
            <v>0</v>
          </cell>
          <cell r="H684">
            <v>0</v>
          </cell>
        </row>
        <row r="685">
          <cell r="A685">
            <v>0</v>
          </cell>
          <cell r="H685">
            <v>0</v>
          </cell>
        </row>
        <row r="686">
          <cell r="A686">
            <v>0</v>
          </cell>
          <cell r="H686">
            <v>0</v>
          </cell>
        </row>
        <row r="687">
          <cell r="A687">
            <v>0</v>
          </cell>
          <cell r="H687">
            <v>0</v>
          </cell>
        </row>
        <row r="688">
          <cell r="A688">
            <v>0</v>
          </cell>
          <cell r="H688">
            <v>0</v>
          </cell>
        </row>
        <row r="689">
          <cell r="A689">
            <v>0</v>
          </cell>
          <cell r="H689">
            <v>0</v>
          </cell>
        </row>
        <row r="690">
          <cell r="A690">
            <v>0</v>
          </cell>
          <cell r="H690">
            <v>0</v>
          </cell>
        </row>
        <row r="691">
          <cell r="A691">
            <v>0</v>
          </cell>
          <cell r="H691">
            <v>0</v>
          </cell>
        </row>
        <row r="692">
          <cell r="A692">
            <v>0</v>
          </cell>
          <cell r="H692">
            <v>0</v>
          </cell>
        </row>
        <row r="693">
          <cell r="A693">
            <v>0</v>
          </cell>
          <cell r="H693">
            <v>0</v>
          </cell>
        </row>
        <row r="694">
          <cell r="A694">
            <v>0</v>
          </cell>
          <cell r="H694">
            <v>0</v>
          </cell>
        </row>
        <row r="695">
          <cell r="A695">
            <v>0</v>
          </cell>
          <cell r="H695">
            <v>0</v>
          </cell>
        </row>
        <row r="696">
          <cell r="A696">
            <v>0</v>
          </cell>
          <cell r="H696">
            <v>0</v>
          </cell>
        </row>
        <row r="697">
          <cell r="A697">
            <v>0</v>
          </cell>
          <cell r="H697">
            <v>0</v>
          </cell>
        </row>
        <row r="698">
          <cell r="A698">
            <v>0</v>
          </cell>
          <cell r="H698">
            <v>0</v>
          </cell>
        </row>
        <row r="699">
          <cell r="A699">
            <v>0</v>
          </cell>
          <cell r="H699">
            <v>0</v>
          </cell>
        </row>
        <row r="700">
          <cell r="A700">
            <v>0</v>
          </cell>
          <cell r="H700">
            <v>0</v>
          </cell>
        </row>
        <row r="701">
          <cell r="A701">
            <v>0</v>
          </cell>
          <cell r="H701">
            <v>0</v>
          </cell>
        </row>
        <row r="702">
          <cell r="A702">
            <v>0</v>
          </cell>
          <cell r="H702">
            <v>0</v>
          </cell>
        </row>
        <row r="703">
          <cell r="A703">
            <v>0</v>
          </cell>
          <cell r="H703">
            <v>0</v>
          </cell>
        </row>
        <row r="704">
          <cell r="A704">
            <v>0</v>
          </cell>
          <cell r="H704">
            <v>0</v>
          </cell>
        </row>
        <row r="705">
          <cell r="A705">
            <v>0</v>
          </cell>
          <cell r="H705">
            <v>0</v>
          </cell>
        </row>
        <row r="706">
          <cell r="A706">
            <v>0</v>
          </cell>
          <cell r="H706">
            <v>0</v>
          </cell>
        </row>
        <row r="707">
          <cell r="A707">
            <v>0</v>
          </cell>
          <cell r="H707">
            <v>0</v>
          </cell>
        </row>
        <row r="708">
          <cell r="A708">
            <v>0</v>
          </cell>
          <cell r="H708">
            <v>0</v>
          </cell>
        </row>
        <row r="709">
          <cell r="A709">
            <v>0</v>
          </cell>
          <cell r="H709">
            <v>0</v>
          </cell>
        </row>
        <row r="710">
          <cell r="A710">
            <v>0</v>
          </cell>
          <cell r="H710">
            <v>0</v>
          </cell>
        </row>
        <row r="711">
          <cell r="A711">
            <v>0</v>
          </cell>
          <cell r="H711">
            <v>0</v>
          </cell>
        </row>
        <row r="712">
          <cell r="A712">
            <v>0</v>
          </cell>
          <cell r="H712">
            <v>0</v>
          </cell>
        </row>
        <row r="713">
          <cell r="A713">
            <v>0</v>
          </cell>
          <cell r="H713">
            <v>0</v>
          </cell>
        </row>
        <row r="714">
          <cell r="A714">
            <v>0</v>
          </cell>
          <cell r="H714">
            <v>0</v>
          </cell>
        </row>
        <row r="715">
          <cell r="A715">
            <v>0</v>
          </cell>
          <cell r="H715">
            <v>0</v>
          </cell>
        </row>
        <row r="716">
          <cell r="A716">
            <v>0</v>
          </cell>
          <cell r="H716">
            <v>0</v>
          </cell>
        </row>
        <row r="717">
          <cell r="A717">
            <v>0</v>
          </cell>
          <cell r="H717">
            <v>0</v>
          </cell>
        </row>
        <row r="718">
          <cell r="A718">
            <v>0</v>
          </cell>
          <cell r="H718">
            <v>0</v>
          </cell>
        </row>
        <row r="719">
          <cell r="A719">
            <v>0</v>
          </cell>
          <cell r="H719">
            <v>0</v>
          </cell>
        </row>
        <row r="720">
          <cell r="A720">
            <v>0</v>
          </cell>
          <cell r="H720">
            <v>0</v>
          </cell>
        </row>
        <row r="721">
          <cell r="A721">
            <v>0</v>
          </cell>
          <cell r="H721">
            <v>0</v>
          </cell>
        </row>
        <row r="722">
          <cell r="A722">
            <v>0</v>
          </cell>
          <cell r="H722">
            <v>0</v>
          </cell>
        </row>
        <row r="723">
          <cell r="A723">
            <v>0</v>
          </cell>
          <cell r="H723">
            <v>0</v>
          </cell>
        </row>
        <row r="724">
          <cell r="A724">
            <v>0</v>
          </cell>
          <cell r="H724">
            <v>0</v>
          </cell>
        </row>
        <row r="725">
          <cell r="A725">
            <v>0</v>
          </cell>
          <cell r="H725">
            <v>0</v>
          </cell>
        </row>
        <row r="726">
          <cell r="A726">
            <v>0</v>
          </cell>
          <cell r="H726">
            <v>0</v>
          </cell>
        </row>
        <row r="727">
          <cell r="A727">
            <v>0</v>
          </cell>
          <cell r="H727">
            <v>0</v>
          </cell>
        </row>
        <row r="728">
          <cell r="A728">
            <v>0</v>
          </cell>
          <cell r="H728">
            <v>0</v>
          </cell>
        </row>
        <row r="729">
          <cell r="A729">
            <v>0</v>
          </cell>
          <cell r="H729">
            <v>0</v>
          </cell>
        </row>
        <row r="730">
          <cell r="A730">
            <v>0</v>
          </cell>
          <cell r="H730">
            <v>0</v>
          </cell>
        </row>
        <row r="731">
          <cell r="A731">
            <v>0</v>
          </cell>
          <cell r="H731">
            <v>0</v>
          </cell>
        </row>
        <row r="732">
          <cell r="A732">
            <v>0</v>
          </cell>
          <cell r="H732">
            <v>0</v>
          </cell>
        </row>
        <row r="733">
          <cell r="A733">
            <v>0</v>
          </cell>
          <cell r="H733">
            <v>0</v>
          </cell>
        </row>
        <row r="734">
          <cell r="A734">
            <v>0</v>
          </cell>
          <cell r="H734">
            <v>0</v>
          </cell>
        </row>
        <row r="735">
          <cell r="A735">
            <v>0</v>
          </cell>
          <cell r="H735">
            <v>0</v>
          </cell>
        </row>
        <row r="736">
          <cell r="A736">
            <v>0</v>
          </cell>
          <cell r="H736">
            <v>0</v>
          </cell>
        </row>
        <row r="737">
          <cell r="A737">
            <v>0</v>
          </cell>
          <cell r="H737">
            <v>0</v>
          </cell>
        </row>
        <row r="738">
          <cell r="A738">
            <v>0</v>
          </cell>
          <cell r="H738">
            <v>0</v>
          </cell>
        </row>
        <row r="739">
          <cell r="A739">
            <v>0</v>
          </cell>
          <cell r="H739">
            <v>0</v>
          </cell>
        </row>
        <row r="740">
          <cell r="A740">
            <v>0</v>
          </cell>
          <cell r="H740">
            <v>0</v>
          </cell>
        </row>
        <row r="741">
          <cell r="A741">
            <v>0</v>
          </cell>
          <cell r="H741">
            <v>0</v>
          </cell>
        </row>
        <row r="742">
          <cell r="A742">
            <v>0</v>
          </cell>
          <cell r="H742">
            <v>0</v>
          </cell>
        </row>
        <row r="743">
          <cell r="A743">
            <v>0</v>
          </cell>
          <cell r="H743">
            <v>0</v>
          </cell>
        </row>
        <row r="744">
          <cell r="A744">
            <v>0</v>
          </cell>
          <cell r="H744">
            <v>0</v>
          </cell>
        </row>
        <row r="745">
          <cell r="A745">
            <v>0</v>
          </cell>
          <cell r="H745">
            <v>0</v>
          </cell>
        </row>
        <row r="746">
          <cell r="A746">
            <v>0</v>
          </cell>
          <cell r="H746">
            <v>0</v>
          </cell>
        </row>
        <row r="747">
          <cell r="A747">
            <v>0</v>
          </cell>
          <cell r="H747">
            <v>0</v>
          </cell>
        </row>
        <row r="748">
          <cell r="A748">
            <v>0</v>
          </cell>
          <cell r="H748">
            <v>0</v>
          </cell>
        </row>
        <row r="749">
          <cell r="A749">
            <v>0</v>
          </cell>
          <cell r="H749">
            <v>0</v>
          </cell>
        </row>
        <row r="750">
          <cell r="A750">
            <v>0</v>
          </cell>
          <cell r="H750">
            <v>0</v>
          </cell>
        </row>
        <row r="751">
          <cell r="A751">
            <v>0</v>
          </cell>
          <cell r="H751">
            <v>0</v>
          </cell>
        </row>
        <row r="752">
          <cell r="A752">
            <v>0</v>
          </cell>
          <cell r="H752">
            <v>0</v>
          </cell>
        </row>
        <row r="753">
          <cell r="A753">
            <v>0</v>
          </cell>
          <cell r="H753">
            <v>0</v>
          </cell>
        </row>
        <row r="754">
          <cell r="A754">
            <v>0</v>
          </cell>
          <cell r="H754">
            <v>0</v>
          </cell>
        </row>
        <row r="755">
          <cell r="A755">
            <v>0</v>
          </cell>
          <cell r="H755">
            <v>0</v>
          </cell>
        </row>
        <row r="756">
          <cell r="A756">
            <v>0</v>
          </cell>
          <cell r="H756">
            <v>0</v>
          </cell>
        </row>
        <row r="757">
          <cell r="A757">
            <v>0</v>
          </cell>
          <cell r="H757">
            <v>0</v>
          </cell>
        </row>
        <row r="758">
          <cell r="A758">
            <v>0</v>
          </cell>
          <cell r="H758">
            <v>0</v>
          </cell>
        </row>
        <row r="759">
          <cell r="A759">
            <v>0</v>
          </cell>
          <cell r="H759">
            <v>0</v>
          </cell>
        </row>
        <row r="760">
          <cell r="A760">
            <v>0</v>
          </cell>
          <cell r="H760">
            <v>0</v>
          </cell>
        </row>
        <row r="761">
          <cell r="A761">
            <v>0</v>
          </cell>
          <cell r="H761">
            <v>0</v>
          </cell>
        </row>
        <row r="762">
          <cell r="A762">
            <v>0</v>
          </cell>
          <cell r="H762">
            <v>0</v>
          </cell>
        </row>
        <row r="763">
          <cell r="A763">
            <v>0</v>
          </cell>
          <cell r="H763">
            <v>0</v>
          </cell>
        </row>
        <row r="764">
          <cell r="A764">
            <v>0</v>
          </cell>
          <cell r="H764">
            <v>0</v>
          </cell>
        </row>
        <row r="765">
          <cell r="A765">
            <v>0</v>
          </cell>
          <cell r="H765">
            <v>0</v>
          </cell>
        </row>
        <row r="766">
          <cell r="A766">
            <v>0</v>
          </cell>
          <cell r="H766">
            <v>0</v>
          </cell>
        </row>
        <row r="767">
          <cell r="A767">
            <v>0</v>
          </cell>
          <cell r="H767">
            <v>0</v>
          </cell>
        </row>
        <row r="768">
          <cell r="A768">
            <v>0</v>
          </cell>
          <cell r="H768">
            <v>0</v>
          </cell>
        </row>
        <row r="769">
          <cell r="A769">
            <v>0</v>
          </cell>
          <cell r="H769">
            <v>0</v>
          </cell>
        </row>
        <row r="770">
          <cell r="A770">
            <v>0</v>
          </cell>
          <cell r="H770">
            <v>0</v>
          </cell>
        </row>
        <row r="771">
          <cell r="A771">
            <v>0</v>
          </cell>
          <cell r="H771">
            <v>0</v>
          </cell>
        </row>
        <row r="772">
          <cell r="A772">
            <v>0</v>
          </cell>
          <cell r="H772">
            <v>0</v>
          </cell>
        </row>
        <row r="773">
          <cell r="A773">
            <v>0</v>
          </cell>
          <cell r="H773">
            <v>0</v>
          </cell>
        </row>
        <row r="774">
          <cell r="A774">
            <v>0</v>
          </cell>
          <cell r="H774">
            <v>0</v>
          </cell>
        </row>
        <row r="775">
          <cell r="A775">
            <v>0</v>
          </cell>
          <cell r="H775">
            <v>0</v>
          </cell>
        </row>
        <row r="776">
          <cell r="A776">
            <v>0</v>
          </cell>
          <cell r="H776">
            <v>0</v>
          </cell>
        </row>
        <row r="777">
          <cell r="A777">
            <v>0</v>
          </cell>
          <cell r="H777">
            <v>0</v>
          </cell>
        </row>
        <row r="778">
          <cell r="A778">
            <v>0</v>
          </cell>
          <cell r="H778">
            <v>0</v>
          </cell>
        </row>
        <row r="779">
          <cell r="A779">
            <v>0</v>
          </cell>
          <cell r="H779">
            <v>0</v>
          </cell>
        </row>
        <row r="780">
          <cell r="A780">
            <v>0</v>
          </cell>
          <cell r="H780">
            <v>0</v>
          </cell>
        </row>
        <row r="781">
          <cell r="A781">
            <v>0</v>
          </cell>
          <cell r="H781">
            <v>0</v>
          </cell>
        </row>
        <row r="782">
          <cell r="A782">
            <v>0</v>
          </cell>
          <cell r="H782">
            <v>0</v>
          </cell>
        </row>
        <row r="783">
          <cell r="A783">
            <v>0</v>
          </cell>
          <cell r="H783">
            <v>0</v>
          </cell>
        </row>
        <row r="784">
          <cell r="A784">
            <v>0</v>
          </cell>
          <cell r="H784">
            <v>0</v>
          </cell>
        </row>
        <row r="785">
          <cell r="A785">
            <v>0</v>
          </cell>
          <cell r="H785">
            <v>0</v>
          </cell>
        </row>
        <row r="786">
          <cell r="A786">
            <v>0</v>
          </cell>
          <cell r="H786">
            <v>0</v>
          </cell>
        </row>
        <row r="787">
          <cell r="A787">
            <v>0</v>
          </cell>
          <cell r="H787">
            <v>0</v>
          </cell>
        </row>
        <row r="788">
          <cell r="A788">
            <v>0</v>
          </cell>
          <cell r="H788">
            <v>0</v>
          </cell>
        </row>
        <row r="789">
          <cell r="A789">
            <v>0</v>
          </cell>
          <cell r="H789">
            <v>0</v>
          </cell>
        </row>
        <row r="790">
          <cell r="A790">
            <v>0</v>
          </cell>
          <cell r="H790">
            <v>0</v>
          </cell>
        </row>
        <row r="791">
          <cell r="A791">
            <v>0</v>
          </cell>
          <cell r="H791">
            <v>0</v>
          </cell>
        </row>
        <row r="792">
          <cell r="A792">
            <v>0</v>
          </cell>
          <cell r="H792">
            <v>0</v>
          </cell>
        </row>
        <row r="793">
          <cell r="A793">
            <v>0</v>
          </cell>
          <cell r="H793">
            <v>0</v>
          </cell>
        </row>
        <row r="794">
          <cell r="A794">
            <v>0</v>
          </cell>
          <cell r="H794">
            <v>0</v>
          </cell>
        </row>
        <row r="795">
          <cell r="A795">
            <v>0</v>
          </cell>
          <cell r="H795">
            <v>0</v>
          </cell>
        </row>
        <row r="796">
          <cell r="A796">
            <v>0</v>
          </cell>
          <cell r="H796">
            <v>0</v>
          </cell>
        </row>
        <row r="797">
          <cell r="A797">
            <v>0</v>
          </cell>
          <cell r="H797">
            <v>0</v>
          </cell>
        </row>
        <row r="798">
          <cell r="A798">
            <v>0</v>
          </cell>
          <cell r="H798">
            <v>0</v>
          </cell>
        </row>
        <row r="799">
          <cell r="A799">
            <v>0</v>
          </cell>
          <cell r="H799">
            <v>0</v>
          </cell>
        </row>
        <row r="800">
          <cell r="A800">
            <v>0</v>
          </cell>
          <cell r="H800">
            <v>0</v>
          </cell>
        </row>
        <row r="801">
          <cell r="A801">
            <v>0</v>
          </cell>
          <cell r="H801">
            <v>0</v>
          </cell>
        </row>
        <row r="802">
          <cell r="A802">
            <v>0</v>
          </cell>
          <cell r="H802">
            <v>0</v>
          </cell>
        </row>
        <row r="803">
          <cell r="A803">
            <v>0</v>
          </cell>
          <cell r="H803">
            <v>0</v>
          </cell>
        </row>
        <row r="804">
          <cell r="A804">
            <v>0</v>
          </cell>
          <cell r="H804">
            <v>0</v>
          </cell>
        </row>
        <row r="805">
          <cell r="A805">
            <v>0</v>
          </cell>
          <cell r="H805">
            <v>0</v>
          </cell>
        </row>
        <row r="806">
          <cell r="A806">
            <v>0</v>
          </cell>
          <cell r="H806">
            <v>0</v>
          </cell>
        </row>
        <row r="807">
          <cell r="A807">
            <v>0</v>
          </cell>
          <cell r="H807">
            <v>0</v>
          </cell>
        </row>
        <row r="808">
          <cell r="A808">
            <v>0</v>
          </cell>
          <cell r="H808">
            <v>0</v>
          </cell>
        </row>
        <row r="809">
          <cell r="A809">
            <v>0</v>
          </cell>
          <cell r="H809">
            <v>0</v>
          </cell>
        </row>
        <row r="810">
          <cell r="A810">
            <v>0</v>
          </cell>
          <cell r="H810">
            <v>0</v>
          </cell>
        </row>
        <row r="811">
          <cell r="A811">
            <v>0</v>
          </cell>
          <cell r="H811">
            <v>0</v>
          </cell>
        </row>
        <row r="812">
          <cell r="A812">
            <v>0</v>
          </cell>
          <cell r="H812">
            <v>0</v>
          </cell>
        </row>
        <row r="813">
          <cell r="A813">
            <v>0</v>
          </cell>
          <cell r="H813">
            <v>0</v>
          </cell>
        </row>
        <row r="814">
          <cell r="A814">
            <v>0</v>
          </cell>
          <cell r="H814">
            <v>0</v>
          </cell>
        </row>
        <row r="815">
          <cell r="A815">
            <v>0</v>
          </cell>
          <cell r="H815">
            <v>0</v>
          </cell>
        </row>
        <row r="816">
          <cell r="A816">
            <v>0</v>
          </cell>
          <cell r="H816">
            <v>0</v>
          </cell>
        </row>
        <row r="817">
          <cell r="A817">
            <v>0</v>
          </cell>
          <cell r="H817">
            <v>0</v>
          </cell>
        </row>
        <row r="818">
          <cell r="A818">
            <v>0</v>
          </cell>
          <cell r="H818">
            <v>0</v>
          </cell>
        </row>
        <row r="819">
          <cell r="A819">
            <v>0</v>
          </cell>
          <cell r="H819">
            <v>0</v>
          </cell>
        </row>
        <row r="820">
          <cell r="A820">
            <v>0</v>
          </cell>
          <cell r="H820">
            <v>0</v>
          </cell>
        </row>
        <row r="821">
          <cell r="A821">
            <v>0</v>
          </cell>
          <cell r="H821">
            <v>0</v>
          </cell>
        </row>
        <row r="822">
          <cell r="A822">
            <v>0</v>
          </cell>
          <cell r="H822">
            <v>0</v>
          </cell>
        </row>
        <row r="823">
          <cell r="A823">
            <v>0</v>
          </cell>
          <cell r="H823">
            <v>0</v>
          </cell>
        </row>
        <row r="824">
          <cell r="A824">
            <v>0</v>
          </cell>
          <cell r="H824">
            <v>0</v>
          </cell>
        </row>
        <row r="825">
          <cell r="A825">
            <v>0</v>
          </cell>
          <cell r="H825">
            <v>0</v>
          </cell>
        </row>
        <row r="826">
          <cell r="A826">
            <v>0</v>
          </cell>
          <cell r="H826">
            <v>0</v>
          </cell>
        </row>
        <row r="827">
          <cell r="A827">
            <v>0</v>
          </cell>
          <cell r="H827">
            <v>0</v>
          </cell>
        </row>
        <row r="828">
          <cell r="A828">
            <v>0</v>
          </cell>
          <cell r="H828">
            <v>0</v>
          </cell>
        </row>
        <row r="829">
          <cell r="A829">
            <v>0</v>
          </cell>
          <cell r="H829">
            <v>0</v>
          </cell>
        </row>
        <row r="830">
          <cell r="A830">
            <v>0</v>
          </cell>
          <cell r="H830">
            <v>0</v>
          </cell>
        </row>
        <row r="831">
          <cell r="A831">
            <v>0</v>
          </cell>
          <cell r="H831">
            <v>0</v>
          </cell>
        </row>
        <row r="832">
          <cell r="A832">
            <v>0</v>
          </cell>
          <cell r="H832">
            <v>0</v>
          </cell>
        </row>
        <row r="833">
          <cell r="A833">
            <v>0</v>
          </cell>
          <cell r="H833">
            <v>0</v>
          </cell>
        </row>
        <row r="834">
          <cell r="A834">
            <v>0</v>
          </cell>
          <cell r="H834">
            <v>0</v>
          </cell>
        </row>
        <row r="835">
          <cell r="A835">
            <v>0</v>
          </cell>
          <cell r="H835">
            <v>0</v>
          </cell>
        </row>
        <row r="836">
          <cell r="A836">
            <v>0</v>
          </cell>
          <cell r="H836">
            <v>0</v>
          </cell>
        </row>
        <row r="837">
          <cell r="A837">
            <v>0</v>
          </cell>
          <cell r="H837">
            <v>0</v>
          </cell>
        </row>
        <row r="838">
          <cell r="A838">
            <v>0</v>
          </cell>
          <cell r="H838">
            <v>0</v>
          </cell>
        </row>
        <row r="839">
          <cell r="A839">
            <v>0</v>
          </cell>
          <cell r="H839">
            <v>0</v>
          </cell>
        </row>
        <row r="840">
          <cell r="A840">
            <v>0</v>
          </cell>
          <cell r="H840">
            <v>0</v>
          </cell>
        </row>
        <row r="841">
          <cell r="A841">
            <v>0</v>
          </cell>
          <cell r="H841">
            <v>0</v>
          </cell>
        </row>
        <row r="842">
          <cell r="A842">
            <v>0</v>
          </cell>
          <cell r="H842">
            <v>0</v>
          </cell>
        </row>
        <row r="843">
          <cell r="A843">
            <v>0</v>
          </cell>
          <cell r="H843">
            <v>0</v>
          </cell>
        </row>
        <row r="844">
          <cell r="A844">
            <v>0</v>
          </cell>
          <cell r="H844">
            <v>0</v>
          </cell>
        </row>
        <row r="845">
          <cell r="A845">
            <v>0</v>
          </cell>
          <cell r="H845">
            <v>0</v>
          </cell>
        </row>
        <row r="846">
          <cell r="A846">
            <v>0</v>
          </cell>
          <cell r="H846">
            <v>0</v>
          </cell>
        </row>
        <row r="847">
          <cell r="A847">
            <v>0</v>
          </cell>
          <cell r="H847">
            <v>0</v>
          </cell>
        </row>
        <row r="848">
          <cell r="A848">
            <v>0</v>
          </cell>
          <cell r="H848">
            <v>0</v>
          </cell>
        </row>
        <row r="849">
          <cell r="A849">
            <v>0</v>
          </cell>
          <cell r="H849">
            <v>0</v>
          </cell>
        </row>
        <row r="850">
          <cell r="A850">
            <v>0</v>
          </cell>
          <cell r="H850">
            <v>0</v>
          </cell>
        </row>
        <row r="851">
          <cell r="A851">
            <v>0</v>
          </cell>
          <cell r="H851">
            <v>0</v>
          </cell>
        </row>
        <row r="852">
          <cell r="A852">
            <v>0</v>
          </cell>
          <cell r="H852">
            <v>0</v>
          </cell>
        </row>
        <row r="853">
          <cell r="A853">
            <v>0</v>
          </cell>
          <cell r="H853">
            <v>0</v>
          </cell>
        </row>
        <row r="854">
          <cell r="A854">
            <v>0</v>
          </cell>
          <cell r="H854">
            <v>0</v>
          </cell>
        </row>
        <row r="855">
          <cell r="A855">
            <v>0</v>
          </cell>
          <cell r="H855">
            <v>0</v>
          </cell>
        </row>
        <row r="856">
          <cell r="A856">
            <v>0</v>
          </cell>
          <cell r="H856">
            <v>0</v>
          </cell>
        </row>
        <row r="857">
          <cell r="A857">
            <v>0</v>
          </cell>
          <cell r="H857">
            <v>0</v>
          </cell>
        </row>
        <row r="858">
          <cell r="A858">
            <v>0</v>
          </cell>
          <cell r="H858">
            <v>0</v>
          </cell>
        </row>
        <row r="859">
          <cell r="A859">
            <v>0</v>
          </cell>
          <cell r="H859">
            <v>0</v>
          </cell>
        </row>
        <row r="860">
          <cell r="A860">
            <v>0</v>
          </cell>
          <cell r="H860">
            <v>0</v>
          </cell>
        </row>
        <row r="861">
          <cell r="A861">
            <v>0</v>
          </cell>
          <cell r="H861">
            <v>0</v>
          </cell>
        </row>
        <row r="862">
          <cell r="A862">
            <v>0</v>
          </cell>
          <cell r="H862">
            <v>0</v>
          </cell>
        </row>
        <row r="863">
          <cell r="A863">
            <v>0</v>
          </cell>
          <cell r="H863">
            <v>0</v>
          </cell>
        </row>
        <row r="864">
          <cell r="A864">
            <v>0</v>
          </cell>
          <cell r="H864">
            <v>0</v>
          </cell>
        </row>
        <row r="865">
          <cell r="A865">
            <v>0</v>
          </cell>
          <cell r="H865">
            <v>0</v>
          </cell>
        </row>
        <row r="866">
          <cell r="A866">
            <v>0</v>
          </cell>
          <cell r="H866">
            <v>0</v>
          </cell>
        </row>
        <row r="867">
          <cell r="A867">
            <v>0</v>
          </cell>
          <cell r="H867">
            <v>0</v>
          </cell>
        </row>
        <row r="868">
          <cell r="A868">
            <v>0</v>
          </cell>
          <cell r="H868">
            <v>0</v>
          </cell>
        </row>
        <row r="869">
          <cell r="A869">
            <v>0</v>
          </cell>
          <cell r="H869">
            <v>0</v>
          </cell>
        </row>
        <row r="870">
          <cell r="A870">
            <v>0</v>
          </cell>
          <cell r="H870">
            <v>0</v>
          </cell>
        </row>
        <row r="871">
          <cell r="A871">
            <v>0</v>
          </cell>
          <cell r="H871">
            <v>0</v>
          </cell>
        </row>
        <row r="872">
          <cell r="A872">
            <v>0</v>
          </cell>
          <cell r="H872">
            <v>0</v>
          </cell>
        </row>
        <row r="873">
          <cell r="A873">
            <v>0</v>
          </cell>
          <cell r="H873">
            <v>0</v>
          </cell>
        </row>
        <row r="874">
          <cell r="A874">
            <v>0</v>
          </cell>
          <cell r="H874">
            <v>0</v>
          </cell>
        </row>
        <row r="875">
          <cell r="A875">
            <v>0</v>
          </cell>
          <cell r="H875">
            <v>0</v>
          </cell>
        </row>
        <row r="876">
          <cell r="A876">
            <v>0</v>
          </cell>
          <cell r="H876">
            <v>0</v>
          </cell>
        </row>
        <row r="877">
          <cell r="A877">
            <v>0</v>
          </cell>
          <cell r="H877">
            <v>0</v>
          </cell>
        </row>
        <row r="878">
          <cell r="A878">
            <v>0</v>
          </cell>
          <cell r="H878">
            <v>0</v>
          </cell>
        </row>
        <row r="879">
          <cell r="A879">
            <v>0</v>
          </cell>
          <cell r="H879">
            <v>0</v>
          </cell>
        </row>
        <row r="880">
          <cell r="A880">
            <v>0</v>
          </cell>
          <cell r="H880">
            <v>0</v>
          </cell>
        </row>
        <row r="881">
          <cell r="A881">
            <v>0</v>
          </cell>
          <cell r="H881">
            <v>0</v>
          </cell>
        </row>
        <row r="882">
          <cell r="A882">
            <v>0</v>
          </cell>
          <cell r="H882">
            <v>0</v>
          </cell>
        </row>
        <row r="883">
          <cell r="A883">
            <v>0</v>
          </cell>
          <cell r="H883">
            <v>0</v>
          </cell>
        </row>
        <row r="884">
          <cell r="A884">
            <v>0</v>
          </cell>
          <cell r="H884">
            <v>0</v>
          </cell>
        </row>
        <row r="885">
          <cell r="A885">
            <v>0</v>
          </cell>
          <cell r="H885">
            <v>0</v>
          </cell>
        </row>
        <row r="886">
          <cell r="A886">
            <v>0</v>
          </cell>
          <cell r="H886">
            <v>0</v>
          </cell>
        </row>
        <row r="887">
          <cell r="A887">
            <v>0</v>
          </cell>
          <cell r="H887">
            <v>0</v>
          </cell>
        </row>
        <row r="888">
          <cell r="A888">
            <v>0</v>
          </cell>
          <cell r="H888">
            <v>0</v>
          </cell>
        </row>
        <row r="889">
          <cell r="A889">
            <v>0</v>
          </cell>
          <cell r="H889">
            <v>0</v>
          </cell>
        </row>
        <row r="890">
          <cell r="A890">
            <v>0</v>
          </cell>
          <cell r="H890">
            <v>0</v>
          </cell>
        </row>
        <row r="891">
          <cell r="A891">
            <v>0</v>
          </cell>
          <cell r="H891">
            <v>0</v>
          </cell>
        </row>
        <row r="892">
          <cell r="A892">
            <v>0</v>
          </cell>
          <cell r="H892">
            <v>0</v>
          </cell>
        </row>
        <row r="893">
          <cell r="A893">
            <v>0</v>
          </cell>
          <cell r="H893">
            <v>0</v>
          </cell>
        </row>
        <row r="894">
          <cell r="A894">
            <v>0</v>
          </cell>
          <cell r="H894">
            <v>0</v>
          </cell>
        </row>
        <row r="895">
          <cell r="A895">
            <v>0</v>
          </cell>
          <cell r="H895">
            <v>0</v>
          </cell>
        </row>
        <row r="896">
          <cell r="A896">
            <v>0</v>
          </cell>
          <cell r="H896">
            <v>0</v>
          </cell>
        </row>
        <row r="897">
          <cell r="A897">
            <v>0</v>
          </cell>
          <cell r="H897">
            <v>0</v>
          </cell>
        </row>
        <row r="898">
          <cell r="A898">
            <v>0</v>
          </cell>
          <cell r="H898">
            <v>0</v>
          </cell>
        </row>
        <row r="899">
          <cell r="A899">
            <v>0</v>
          </cell>
          <cell r="H899">
            <v>0</v>
          </cell>
        </row>
        <row r="900">
          <cell r="A900">
            <v>0</v>
          </cell>
          <cell r="H900">
            <v>0</v>
          </cell>
        </row>
        <row r="901">
          <cell r="A901">
            <v>0</v>
          </cell>
          <cell r="H901">
            <v>0</v>
          </cell>
        </row>
        <row r="902">
          <cell r="A902">
            <v>0</v>
          </cell>
          <cell r="H902">
            <v>0</v>
          </cell>
        </row>
        <row r="903">
          <cell r="A903">
            <v>0</v>
          </cell>
          <cell r="H903">
            <v>0</v>
          </cell>
        </row>
        <row r="904">
          <cell r="A904">
            <v>0</v>
          </cell>
          <cell r="H904">
            <v>0</v>
          </cell>
        </row>
        <row r="905">
          <cell r="A905">
            <v>0</v>
          </cell>
          <cell r="H905">
            <v>0</v>
          </cell>
        </row>
        <row r="906">
          <cell r="A906">
            <v>0</v>
          </cell>
          <cell r="H906">
            <v>0</v>
          </cell>
        </row>
        <row r="907">
          <cell r="A907">
            <v>0</v>
          </cell>
          <cell r="H907">
            <v>0</v>
          </cell>
        </row>
        <row r="908">
          <cell r="A908">
            <v>0</v>
          </cell>
          <cell r="H908">
            <v>0</v>
          </cell>
        </row>
        <row r="909">
          <cell r="A909">
            <v>0</v>
          </cell>
          <cell r="H909">
            <v>0</v>
          </cell>
        </row>
        <row r="910">
          <cell r="A910">
            <v>0</v>
          </cell>
          <cell r="H910">
            <v>0</v>
          </cell>
        </row>
        <row r="911">
          <cell r="A911">
            <v>0</v>
          </cell>
          <cell r="H911">
            <v>0</v>
          </cell>
        </row>
        <row r="912">
          <cell r="A912">
            <v>0</v>
          </cell>
          <cell r="H912">
            <v>0</v>
          </cell>
        </row>
        <row r="913">
          <cell r="A913">
            <v>0</v>
          </cell>
          <cell r="H913">
            <v>0</v>
          </cell>
        </row>
        <row r="914">
          <cell r="A914">
            <v>0</v>
          </cell>
          <cell r="H914">
            <v>0</v>
          </cell>
        </row>
        <row r="915">
          <cell r="A915">
            <v>0</v>
          </cell>
          <cell r="H915">
            <v>0</v>
          </cell>
        </row>
        <row r="916">
          <cell r="A916">
            <v>0</v>
          </cell>
          <cell r="H916">
            <v>0</v>
          </cell>
        </row>
        <row r="917">
          <cell r="A917">
            <v>0</v>
          </cell>
          <cell r="H917">
            <v>0</v>
          </cell>
        </row>
        <row r="918">
          <cell r="A918">
            <v>0</v>
          </cell>
          <cell r="H918">
            <v>0</v>
          </cell>
        </row>
        <row r="919">
          <cell r="A919">
            <v>0</v>
          </cell>
          <cell r="H919">
            <v>0</v>
          </cell>
        </row>
        <row r="920">
          <cell r="A920">
            <v>0</v>
          </cell>
          <cell r="H920">
            <v>0</v>
          </cell>
        </row>
        <row r="921">
          <cell r="A921">
            <v>0</v>
          </cell>
          <cell r="H921">
            <v>0</v>
          </cell>
        </row>
        <row r="922">
          <cell r="A922">
            <v>0</v>
          </cell>
          <cell r="H922">
            <v>0</v>
          </cell>
        </row>
        <row r="923">
          <cell r="A923">
            <v>0</v>
          </cell>
          <cell r="H923">
            <v>0</v>
          </cell>
        </row>
        <row r="924">
          <cell r="A924">
            <v>0</v>
          </cell>
          <cell r="H924">
            <v>0</v>
          </cell>
        </row>
        <row r="925">
          <cell r="A925">
            <v>0</v>
          </cell>
          <cell r="H925">
            <v>0</v>
          </cell>
        </row>
        <row r="926">
          <cell r="A926">
            <v>0</v>
          </cell>
          <cell r="H926">
            <v>0</v>
          </cell>
        </row>
        <row r="927">
          <cell r="A927">
            <v>0</v>
          </cell>
          <cell r="H927">
            <v>0</v>
          </cell>
        </row>
        <row r="928">
          <cell r="A928">
            <v>0</v>
          </cell>
          <cell r="H928">
            <v>0</v>
          </cell>
        </row>
        <row r="929">
          <cell r="A929">
            <v>0</v>
          </cell>
          <cell r="H929">
            <v>0</v>
          </cell>
        </row>
        <row r="930">
          <cell r="A930">
            <v>0</v>
          </cell>
          <cell r="H930">
            <v>0</v>
          </cell>
        </row>
        <row r="931">
          <cell r="A931">
            <v>0</v>
          </cell>
          <cell r="H931">
            <v>0</v>
          </cell>
        </row>
        <row r="932">
          <cell r="A932">
            <v>0</v>
          </cell>
          <cell r="H932">
            <v>0</v>
          </cell>
        </row>
        <row r="933">
          <cell r="A933">
            <v>0</v>
          </cell>
          <cell r="H933">
            <v>0</v>
          </cell>
        </row>
        <row r="934">
          <cell r="A934">
            <v>0</v>
          </cell>
          <cell r="H934">
            <v>0</v>
          </cell>
        </row>
        <row r="935">
          <cell r="A935">
            <v>0</v>
          </cell>
          <cell r="H935">
            <v>0</v>
          </cell>
        </row>
        <row r="936">
          <cell r="A936">
            <v>0</v>
          </cell>
          <cell r="H936">
            <v>0</v>
          </cell>
        </row>
        <row r="937">
          <cell r="A937">
            <v>0</v>
          </cell>
          <cell r="H937">
            <v>0</v>
          </cell>
        </row>
        <row r="938">
          <cell r="A938">
            <v>0</v>
          </cell>
          <cell r="H938">
            <v>0</v>
          </cell>
        </row>
        <row r="939">
          <cell r="A939">
            <v>0</v>
          </cell>
          <cell r="H939">
            <v>0</v>
          </cell>
        </row>
        <row r="940">
          <cell r="A940">
            <v>0</v>
          </cell>
          <cell r="H940">
            <v>0</v>
          </cell>
        </row>
        <row r="941">
          <cell r="A941">
            <v>0</v>
          </cell>
          <cell r="H941">
            <v>0</v>
          </cell>
        </row>
        <row r="942">
          <cell r="A942">
            <v>0</v>
          </cell>
          <cell r="H942">
            <v>0</v>
          </cell>
        </row>
        <row r="943">
          <cell r="A943">
            <v>0</v>
          </cell>
          <cell r="H943">
            <v>0</v>
          </cell>
        </row>
        <row r="944">
          <cell r="A944">
            <v>0</v>
          </cell>
          <cell r="H944">
            <v>0</v>
          </cell>
        </row>
        <row r="945">
          <cell r="A945">
            <v>0</v>
          </cell>
          <cell r="H945">
            <v>0</v>
          </cell>
        </row>
        <row r="946">
          <cell r="A946">
            <v>0</v>
          </cell>
          <cell r="H946">
            <v>0</v>
          </cell>
        </row>
        <row r="947">
          <cell r="A947">
            <v>0</v>
          </cell>
          <cell r="H947">
            <v>0</v>
          </cell>
        </row>
        <row r="948">
          <cell r="A948">
            <v>0</v>
          </cell>
          <cell r="H948">
            <v>0</v>
          </cell>
        </row>
        <row r="949">
          <cell r="A949">
            <v>0</v>
          </cell>
          <cell r="H949">
            <v>0</v>
          </cell>
        </row>
        <row r="950">
          <cell r="A950">
            <v>0</v>
          </cell>
          <cell r="H950">
            <v>0</v>
          </cell>
        </row>
        <row r="951">
          <cell r="A951">
            <v>0</v>
          </cell>
          <cell r="H951">
            <v>0</v>
          </cell>
        </row>
        <row r="952">
          <cell r="A952">
            <v>0</v>
          </cell>
          <cell r="H952">
            <v>0</v>
          </cell>
        </row>
        <row r="953">
          <cell r="A953">
            <v>0</v>
          </cell>
          <cell r="H953">
            <v>0</v>
          </cell>
        </row>
        <row r="954">
          <cell r="A954">
            <v>0</v>
          </cell>
          <cell r="H954">
            <v>0</v>
          </cell>
        </row>
        <row r="955">
          <cell r="A955">
            <v>0</v>
          </cell>
          <cell r="H955">
            <v>0</v>
          </cell>
        </row>
        <row r="956">
          <cell r="A956">
            <v>0</v>
          </cell>
          <cell r="H956">
            <v>0</v>
          </cell>
        </row>
        <row r="957">
          <cell r="A957">
            <v>0</v>
          </cell>
          <cell r="H957">
            <v>0</v>
          </cell>
        </row>
        <row r="958">
          <cell r="A958">
            <v>0</v>
          </cell>
          <cell r="H958">
            <v>0</v>
          </cell>
        </row>
        <row r="959">
          <cell r="A959">
            <v>0</v>
          </cell>
          <cell r="H959">
            <v>0</v>
          </cell>
        </row>
        <row r="960">
          <cell r="A960">
            <v>0</v>
          </cell>
          <cell r="H960">
            <v>0</v>
          </cell>
        </row>
        <row r="961">
          <cell r="A961">
            <v>0</v>
          </cell>
          <cell r="H961">
            <v>0</v>
          </cell>
        </row>
        <row r="962">
          <cell r="A962">
            <v>0</v>
          </cell>
          <cell r="H962">
            <v>0</v>
          </cell>
        </row>
        <row r="963">
          <cell r="A963">
            <v>0</v>
          </cell>
          <cell r="H963">
            <v>0</v>
          </cell>
        </row>
        <row r="964">
          <cell r="A964">
            <v>0</v>
          </cell>
          <cell r="H964">
            <v>0</v>
          </cell>
        </row>
        <row r="965">
          <cell r="A965">
            <v>0</v>
          </cell>
          <cell r="H965">
            <v>0</v>
          </cell>
        </row>
        <row r="966">
          <cell r="A966">
            <v>0</v>
          </cell>
          <cell r="H966">
            <v>0</v>
          </cell>
        </row>
        <row r="967">
          <cell r="A967">
            <v>0</v>
          </cell>
          <cell r="H967">
            <v>0</v>
          </cell>
        </row>
        <row r="968">
          <cell r="A968">
            <v>0</v>
          </cell>
          <cell r="H968">
            <v>0</v>
          </cell>
        </row>
        <row r="969">
          <cell r="A969">
            <v>0</v>
          </cell>
          <cell r="H969">
            <v>0</v>
          </cell>
        </row>
        <row r="970">
          <cell r="A970">
            <v>0</v>
          </cell>
          <cell r="H970">
            <v>0</v>
          </cell>
        </row>
        <row r="971">
          <cell r="A971">
            <v>0</v>
          </cell>
          <cell r="H971">
            <v>0</v>
          </cell>
        </row>
        <row r="972">
          <cell r="A972">
            <v>0</v>
          </cell>
          <cell r="H972">
            <v>0</v>
          </cell>
        </row>
        <row r="973">
          <cell r="A973">
            <v>0</v>
          </cell>
          <cell r="H973">
            <v>0</v>
          </cell>
        </row>
        <row r="974">
          <cell r="A974">
            <v>0</v>
          </cell>
          <cell r="H974">
            <v>0</v>
          </cell>
        </row>
        <row r="975">
          <cell r="A975">
            <v>0</v>
          </cell>
          <cell r="H975">
            <v>0</v>
          </cell>
        </row>
        <row r="976">
          <cell r="A976">
            <v>0</v>
          </cell>
          <cell r="H976">
            <v>0</v>
          </cell>
        </row>
        <row r="977">
          <cell r="A977">
            <v>0</v>
          </cell>
          <cell r="H977">
            <v>0</v>
          </cell>
        </row>
        <row r="978">
          <cell r="A978">
            <v>0</v>
          </cell>
          <cell r="H978">
            <v>0</v>
          </cell>
        </row>
        <row r="979">
          <cell r="A979">
            <v>0</v>
          </cell>
          <cell r="H979">
            <v>0</v>
          </cell>
        </row>
        <row r="980">
          <cell r="A980">
            <v>0</v>
          </cell>
          <cell r="H980">
            <v>0</v>
          </cell>
        </row>
        <row r="981">
          <cell r="A981">
            <v>0</v>
          </cell>
          <cell r="H981">
            <v>0</v>
          </cell>
        </row>
        <row r="982">
          <cell r="A982">
            <v>0</v>
          </cell>
          <cell r="H982">
            <v>0</v>
          </cell>
        </row>
        <row r="983">
          <cell r="A983">
            <v>0</v>
          </cell>
          <cell r="H983">
            <v>0</v>
          </cell>
        </row>
        <row r="984">
          <cell r="A984">
            <v>0</v>
          </cell>
          <cell r="H984">
            <v>0</v>
          </cell>
        </row>
        <row r="985">
          <cell r="A985">
            <v>0</v>
          </cell>
          <cell r="H985">
            <v>0</v>
          </cell>
        </row>
        <row r="986">
          <cell r="A986">
            <v>0</v>
          </cell>
          <cell r="H986">
            <v>0</v>
          </cell>
        </row>
        <row r="987">
          <cell r="A987">
            <v>0</v>
          </cell>
          <cell r="H987">
            <v>0</v>
          </cell>
        </row>
        <row r="988">
          <cell r="A988">
            <v>0</v>
          </cell>
          <cell r="H988">
            <v>0</v>
          </cell>
        </row>
        <row r="989">
          <cell r="A989">
            <v>0</v>
          </cell>
          <cell r="H989">
            <v>0</v>
          </cell>
        </row>
        <row r="990">
          <cell r="A990">
            <v>0</v>
          </cell>
          <cell r="H990">
            <v>0</v>
          </cell>
        </row>
        <row r="991">
          <cell r="A991">
            <v>0</v>
          </cell>
          <cell r="H991">
            <v>0</v>
          </cell>
        </row>
        <row r="992">
          <cell r="A992">
            <v>0</v>
          </cell>
          <cell r="H992">
            <v>0</v>
          </cell>
        </row>
        <row r="993">
          <cell r="A993">
            <v>0</v>
          </cell>
          <cell r="H993">
            <v>0</v>
          </cell>
        </row>
        <row r="994">
          <cell r="A994">
            <v>0</v>
          </cell>
          <cell r="H994">
            <v>0</v>
          </cell>
        </row>
        <row r="995">
          <cell r="A995">
            <v>0</v>
          </cell>
          <cell r="H995">
            <v>0</v>
          </cell>
        </row>
        <row r="996">
          <cell r="A996">
            <v>0</v>
          </cell>
          <cell r="H996">
            <v>0</v>
          </cell>
        </row>
        <row r="997">
          <cell r="A997">
            <v>0</v>
          </cell>
          <cell r="H997">
            <v>0</v>
          </cell>
        </row>
        <row r="998">
          <cell r="A998">
            <v>0</v>
          </cell>
          <cell r="H998">
            <v>0</v>
          </cell>
        </row>
        <row r="999">
          <cell r="A999">
            <v>0</v>
          </cell>
          <cell r="H999">
            <v>0</v>
          </cell>
        </row>
        <row r="1000">
          <cell r="A1000">
            <v>0</v>
          </cell>
          <cell r="H1000">
            <v>0</v>
          </cell>
        </row>
        <row r="1001">
          <cell r="A1001">
            <v>0</v>
          </cell>
          <cell r="H1001">
            <v>0</v>
          </cell>
        </row>
        <row r="1002">
          <cell r="A1002">
            <v>0</v>
          </cell>
          <cell r="H1002">
            <v>0</v>
          </cell>
        </row>
        <row r="1003">
          <cell r="A1003">
            <v>0</v>
          </cell>
          <cell r="H1003">
            <v>0</v>
          </cell>
        </row>
        <row r="1004">
          <cell r="A1004">
            <v>0</v>
          </cell>
          <cell r="H1004">
            <v>0</v>
          </cell>
        </row>
        <row r="1005">
          <cell r="A1005">
            <v>0</v>
          </cell>
          <cell r="H1005">
            <v>0</v>
          </cell>
        </row>
        <row r="1006">
          <cell r="A1006">
            <v>0</v>
          </cell>
          <cell r="H1006">
            <v>0</v>
          </cell>
        </row>
        <row r="1007">
          <cell r="A1007">
            <v>0</v>
          </cell>
          <cell r="H1007">
            <v>0</v>
          </cell>
        </row>
        <row r="1008">
          <cell r="A1008">
            <v>0</v>
          </cell>
          <cell r="H1008">
            <v>0</v>
          </cell>
        </row>
        <row r="1009">
          <cell r="A1009">
            <v>0</v>
          </cell>
          <cell r="H1009">
            <v>0</v>
          </cell>
        </row>
        <row r="1010">
          <cell r="A1010">
            <v>0</v>
          </cell>
          <cell r="H1010">
            <v>0</v>
          </cell>
        </row>
        <row r="1011">
          <cell r="A1011">
            <v>0</v>
          </cell>
          <cell r="H1011">
            <v>0</v>
          </cell>
        </row>
        <row r="1012">
          <cell r="A1012">
            <v>0</v>
          </cell>
          <cell r="H1012">
            <v>0</v>
          </cell>
        </row>
        <row r="1013">
          <cell r="A1013">
            <v>0</v>
          </cell>
          <cell r="H1013">
            <v>0</v>
          </cell>
        </row>
        <row r="1014">
          <cell r="A1014">
            <v>0</v>
          </cell>
          <cell r="H1014">
            <v>0</v>
          </cell>
        </row>
        <row r="1015">
          <cell r="A1015">
            <v>0</v>
          </cell>
          <cell r="H1015">
            <v>0</v>
          </cell>
        </row>
        <row r="1016">
          <cell r="A1016">
            <v>0</v>
          </cell>
          <cell r="H1016">
            <v>0</v>
          </cell>
        </row>
        <row r="1017">
          <cell r="A1017">
            <v>0</v>
          </cell>
          <cell r="H1017">
            <v>0</v>
          </cell>
        </row>
        <row r="1018">
          <cell r="A1018">
            <v>0</v>
          </cell>
          <cell r="H1018">
            <v>0</v>
          </cell>
        </row>
        <row r="1019">
          <cell r="A1019">
            <v>0</v>
          </cell>
          <cell r="H1019">
            <v>0</v>
          </cell>
        </row>
        <row r="1020">
          <cell r="A1020">
            <v>0</v>
          </cell>
          <cell r="H1020">
            <v>0</v>
          </cell>
        </row>
        <row r="1021">
          <cell r="A1021">
            <v>0</v>
          </cell>
          <cell r="H1021">
            <v>0</v>
          </cell>
        </row>
        <row r="1022">
          <cell r="A1022">
            <v>0</v>
          </cell>
          <cell r="H1022">
            <v>0</v>
          </cell>
        </row>
        <row r="1023">
          <cell r="A1023">
            <v>0</v>
          </cell>
          <cell r="H1023">
            <v>0</v>
          </cell>
        </row>
        <row r="1024">
          <cell r="A1024">
            <v>0</v>
          </cell>
          <cell r="H1024">
            <v>0</v>
          </cell>
        </row>
        <row r="1025">
          <cell r="A1025">
            <v>0</v>
          </cell>
          <cell r="H1025">
            <v>0</v>
          </cell>
        </row>
        <row r="1026">
          <cell r="A1026">
            <v>0</v>
          </cell>
          <cell r="H1026">
            <v>0</v>
          </cell>
        </row>
        <row r="1027">
          <cell r="A1027">
            <v>0</v>
          </cell>
          <cell r="H1027">
            <v>0</v>
          </cell>
        </row>
        <row r="1028">
          <cell r="A1028">
            <v>0</v>
          </cell>
          <cell r="H1028">
            <v>0</v>
          </cell>
        </row>
        <row r="1029">
          <cell r="A1029">
            <v>0</v>
          </cell>
          <cell r="H1029">
            <v>0</v>
          </cell>
        </row>
        <row r="1030">
          <cell r="A1030">
            <v>0</v>
          </cell>
          <cell r="H1030">
            <v>0</v>
          </cell>
        </row>
        <row r="1031">
          <cell r="A1031">
            <v>0</v>
          </cell>
          <cell r="H1031">
            <v>0</v>
          </cell>
        </row>
        <row r="1032">
          <cell r="A1032">
            <v>0</v>
          </cell>
          <cell r="H1032">
            <v>0</v>
          </cell>
        </row>
        <row r="1033">
          <cell r="A1033">
            <v>0</v>
          </cell>
          <cell r="H1033">
            <v>0</v>
          </cell>
        </row>
        <row r="1034">
          <cell r="A1034">
            <v>0</v>
          </cell>
          <cell r="H1034">
            <v>0</v>
          </cell>
        </row>
        <row r="1035">
          <cell r="A1035">
            <v>0</v>
          </cell>
          <cell r="H1035">
            <v>0</v>
          </cell>
        </row>
        <row r="1036">
          <cell r="A1036">
            <v>0</v>
          </cell>
          <cell r="H1036">
            <v>0</v>
          </cell>
        </row>
        <row r="1037">
          <cell r="A1037">
            <v>0</v>
          </cell>
          <cell r="H1037">
            <v>0</v>
          </cell>
        </row>
        <row r="1038">
          <cell r="A1038">
            <v>0</v>
          </cell>
          <cell r="H1038">
            <v>0</v>
          </cell>
        </row>
        <row r="1039">
          <cell r="A1039">
            <v>0</v>
          </cell>
          <cell r="H1039">
            <v>0</v>
          </cell>
        </row>
        <row r="1040">
          <cell r="A1040">
            <v>0</v>
          </cell>
          <cell r="H1040">
            <v>0</v>
          </cell>
        </row>
        <row r="1041">
          <cell r="A1041">
            <v>0</v>
          </cell>
          <cell r="H1041">
            <v>0</v>
          </cell>
        </row>
        <row r="1042">
          <cell r="A1042">
            <v>0</v>
          </cell>
          <cell r="H1042">
            <v>0</v>
          </cell>
        </row>
        <row r="1043">
          <cell r="A1043">
            <v>0</v>
          </cell>
          <cell r="H1043">
            <v>0</v>
          </cell>
        </row>
        <row r="1044">
          <cell r="A1044">
            <v>0</v>
          </cell>
          <cell r="H1044">
            <v>0</v>
          </cell>
        </row>
        <row r="1045">
          <cell r="A1045">
            <v>0</v>
          </cell>
          <cell r="H1045">
            <v>0</v>
          </cell>
        </row>
        <row r="1046">
          <cell r="A1046">
            <v>0</v>
          </cell>
          <cell r="H1046">
            <v>0</v>
          </cell>
        </row>
        <row r="1047">
          <cell r="A1047">
            <v>0</v>
          </cell>
          <cell r="H1047">
            <v>0</v>
          </cell>
        </row>
        <row r="1048">
          <cell r="A1048">
            <v>0</v>
          </cell>
          <cell r="H1048">
            <v>0</v>
          </cell>
        </row>
        <row r="1049">
          <cell r="A1049">
            <v>0</v>
          </cell>
          <cell r="H1049">
            <v>0</v>
          </cell>
        </row>
        <row r="1050">
          <cell r="A1050">
            <v>0</v>
          </cell>
          <cell r="H1050">
            <v>0</v>
          </cell>
        </row>
        <row r="1051">
          <cell r="A1051">
            <v>0</v>
          </cell>
          <cell r="H1051">
            <v>0</v>
          </cell>
        </row>
        <row r="1052">
          <cell r="A1052">
            <v>0</v>
          </cell>
          <cell r="H1052">
            <v>0</v>
          </cell>
        </row>
        <row r="1053">
          <cell r="A1053">
            <v>0</v>
          </cell>
          <cell r="H1053">
            <v>0</v>
          </cell>
        </row>
        <row r="1054">
          <cell r="A1054">
            <v>0</v>
          </cell>
          <cell r="H1054">
            <v>0</v>
          </cell>
        </row>
        <row r="1055">
          <cell r="A1055">
            <v>0</v>
          </cell>
          <cell r="H1055">
            <v>0</v>
          </cell>
        </row>
        <row r="1056">
          <cell r="A1056">
            <v>0</v>
          </cell>
          <cell r="H1056">
            <v>0</v>
          </cell>
        </row>
        <row r="1057">
          <cell r="A1057">
            <v>0</v>
          </cell>
          <cell r="H1057">
            <v>0</v>
          </cell>
        </row>
        <row r="1058">
          <cell r="A1058">
            <v>0</v>
          </cell>
          <cell r="H1058">
            <v>0</v>
          </cell>
        </row>
        <row r="1059">
          <cell r="A1059">
            <v>0</v>
          </cell>
          <cell r="H1059">
            <v>0</v>
          </cell>
        </row>
        <row r="1060">
          <cell r="A1060">
            <v>0</v>
          </cell>
          <cell r="H1060">
            <v>0</v>
          </cell>
        </row>
        <row r="1061">
          <cell r="A1061">
            <v>0</v>
          </cell>
          <cell r="H1061">
            <v>0</v>
          </cell>
        </row>
        <row r="1062">
          <cell r="A1062">
            <v>0</v>
          </cell>
          <cell r="H1062">
            <v>0</v>
          </cell>
        </row>
        <row r="1063">
          <cell r="A1063">
            <v>0</v>
          </cell>
          <cell r="H1063">
            <v>0</v>
          </cell>
        </row>
        <row r="1064">
          <cell r="A1064">
            <v>0</v>
          </cell>
          <cell r="H1064">
            <v>0</v>
          </cell>
        </row>
        <row r="1065">
          <cell r="A1065">
            <v>0</v>
          </cell>
          <cell r="H1065">
            <v>0</v>
          </cell>
        </row>
        <row r="1066">
          <cell r="A1066">
            <v>0</v>
          </cell>
          <cell r="H1066">
            <v>0</v>
          </cell>
        </row>
        <row r="1067">
          <cell r="A1067">
            <v>0</v>
          </cell>
          <cell r="H1067">
            <v>0</v>
          </cell>
        </row>
        <row r="1068">
          <cell r="A1068">
            <v>0</v>
          </cell>
          <cell r="H1068">
            <v>0</v>
          </cell>
        </row>
        <row r="1069">
          <cell r="A1069">
            <v>0</v>
          </cell>
          <cell r="H1069">
            <v>0</v>
          </cell>
        </row>
        <row r="1070">
          <cell r="A1070">
            <v>0</v>
          </cell>
          <cell r="H1070">
            <v>0</v>
          </cell>
        </row>
        <row r="1071">
          <cell r="A1071">
            <v>0</v>
          </cell>
          <cell r="H1071">
            <v>0</v>
          </cell>
        </row>
        <row r="1072">
          <cell r="A1072">
            <v>0</v>
          </cell>
          <cell r="H1072">
            <v>0</v>
          </cell>
        </row>
        <row r="1073">
          <cell r="A1073">
            <v>0</v>
          </cell>
          <cell r="H1073">
            <v>0</v>
          </cell>
        </row>
        <row r="1074">
          <cell r="A1074">
            <v>0</v>
          </cell>
          <cell r="H1074">
            <v>0</v>
          </cell>
        </row>
        <row r="1075">
          <cell r="A1075">
            <v>0</v>
          </cell>
          <cell r="H1075">
            <v>0</v>
          </cell>
        </row>
        <row r="1076">
          <cell r="A1076">
            <v>0</v>
          </cell>
          <cell r="H1076">
            <v>0</v>
          </cell>
        </row>
        <row r="1077">
          <cell r="A1077">
            <v>0</v>
          </cell>
          <cell r="H1077">
            <v>0</v>
          </cell>
        </row>
        <row r="1078">
          <cell r="A1078">
            <v>0</v>
          </cell>
          <cell r="H1078">
            <v>0</v>
          </cell>
        </row>
        <row r="1079">
          <cell r="A1079">
            <v>0</v>
          </cell>
          <cell r="H1079">
            <v>0</v>
          </cell>
        </row>
        <row r="1080">
          <cell r="A1080">
            <v>0</v>
          </cell>
          <cell r="H1080">
            <v>0</v>
          </cell>
        </row>
        <row r="1081">
          <cell r="A1081">
            <v>0</v>
          </cell>
          <cell r="H1081">
            <v>0</v>
          </cell>
        </row>
        <row r="1082">
          <cell r="A1082">
            <v>0</v>
          </cell>
          <cell r="H1082">
            <v>0</v>
          </cell>
        </row>
        <row r="1083">
          <cell r="A1083">
            <v>0</v>
          </cell>
          <cell r="H1083">
            <v>0</v>
          </cell>
        </row>
        <row r="1084">
          <cell r="A1084">
            <v>0</v>
          </cell>
          <cell r="H1084">
            <v>0</v>
          </cell>
        </row>
        <row r="1085">
          <cell r="A1085">
            <v>0</v>
          </cell>
          <cell r="H1085">
            <v>0</v>
          </cell>
        </row>
        <row r="1086">
          <cell r="A1086">
            <v>0</v>
          </cell>
          <cell r="H1086">
            <v>0</v>
          </cell>
        </row>
        <row r="1087">
          <cell r="A1087">
            <v>0</v>
          </cell>
          <cell r="H1087">
            <v>0</v>
          </cell>
        </row>
        <row r="1088">
          <cell r="A1088">
            <v>0</v>
          </cell>
          <cell r="H1088">
            <v>0</v>
          </cell>
        </row>
        <row r="1089">
          <cell r="A1089">
            <v>0</v>
          </cell>
          <cell r="H1089">
            <v>0</v>
          </cell>
        </row>
        <row r="1090">
          <cell r="A1090">
            <v>0</v>
          </cell>
          <cell r="H1090">
            <v>0</v>
          </cell>
        </row>
        <row r="1091">
          <cell r="A1091">
            <v>0</v>
          </cell>
          <cell r="H1091">
            <v>0</v>
          </cell>
        </row>
        <row r="1092">
          <cell r="A1092">
            <v>0</v>
          </cell>
          <cell r="H1092">
            <v>0</v>
          </cell>
        </row>
        <row r="1093">
          <cell r="A1093">
            <v>0</v>
          </cell>
          <cell r="H1093">
            <v>0</v>
          </cell>
        </row>
        <row r="1094">
          <cell r="A1094">
            <v>0</v>
          </cell>
          <cell r="H1094">
            <v>0</v>
          </cell>
        </row>
        <row r="1095">
          <cell r="A1095">
            <v>0</v>
          </cell>
          <cell r="H1095">
            <v>0</v>
          </cell>
        </row>
        <row r="1096">
          <cell r="A1096">
            <v>0</v>
          </cell>
          <cell r="H1096">
            <v>0</v>
          </cell>
        </row>
        <row r="1097">
          <cell r="A1097">
            <v>0</v>
          </cell>
          <cell r="H1097">
            <v>0</v>
          </cell>
        </row>
        <row r="1098">
          <cell r="A1098">
            <v>0</v>
          </cell>
          <cell r="H1098">
            <v>0</v>
          </cell>
        </row>
        <row r="1099">
          <cell r="A1099">
            <v>0</v>
          </cell>
          <cell r="H1099">
            <v>0</v>
          </cell>
        </row>
        <row r="1100">
          <cell r="A1100">
            <v>0</v>
          </cell>
          <cell r="H1100">
            <v>0</v>
          </cell>
        </row>
        <row r="1101">
          <cell r="A1101">
            <v>0</v>
          </cell>
          <cell r="H1101">
            <v>0</v>
          </cell>
        </row>
        <row r="1102">
          <cell r="A1102">
            <v>0</v>
          </cell>
          <cell r="H1102">
            <v>0</v>
          </cell>
        </row>
        <row r="1103">
          <cell r="A1103">
            <v>0</v>
          </cell>
          <cell r="H1103">
            <v>0</v>
          </cell>
        </row>
        <row r="1104">
          <cell r="A1104">
            <v>0</v>
          </cell>
          <cell r="H1104">
            <v>0</v>
          </cell>
        </row>
        <row r="1105">
          <cell r="A1105">
            <v>0</v>
          </cell>
          <cell r="H1105">
            <v>0</v>
          </cell>
        </row>
        <row r="1106">
          <cell r="A1106">
            <v>0</v>
          </cell>
          <cell r="H1106">
            <v>0</v>
          </cell>
        </row>
        <row r="1107">
          <cell r="A1107">
            <v>0</v>
          </cell>
          <cell r="H1107">
            <v>0</v>
          </cell>
        </row>
        <row r="1108">
          <cell r="A1108">
            <v>0</v>
          </cell>
          <cell r="H1108">
            <v>0</v>
          </cell>
        </row>
        <row r="1109">
          <cell r="A1109">
            <v>0</v>
          </cell>
          <cell r="H1109">
            <v>0</v>
          </cell>
        </row>
        <row r="1110">
          <cell r="A1110">
            <v>0</v>
          </cell>
          <cell r="H1110">
            <v>0</v>
          </cell>
        </row>
        <row r="1111">
          <cell r="A1111">
            <v>0</v>
          </cell>
          <cell r="H1111">
            <v>0</v>
          </cell>
        </row>
        <row r="1112">
          <cell r="A1112">
            <v>0</v>
          </cell>
          <cell r="H1112">
            <v>0</v>
          </cell>
        </row>
        <row r="1113">
          <cell r="A1113">
            <v>0</v>
          </cell>
          <cell r="H1113">
            <v>0</v>
          </cell>
        </row>
        <row r="1114">
          <cell r="A1114">
            <v>0</v>
          </cell>
          <cell r="H1114">
            <v>0</v>
          </cell>
        </row>
        <row r="1115">
          <cell r="A1115">
            <v>0</v>
          </cell>
          <cell r="H1115">
            <v>0</v>
          </cell>
        </row>
        <row r="1116">
          <cell r="A1116">
            <v>0</v>
          </cell>
          <cell r="H1116">
            <v>0</v>
          </cell>
        </row>
        <row r="1117">
          <cell r="A1117">
            <v>0</v>
          </cell>
          <cell r="H1117">
            <v>0</v>
          </cell>
        </row>
        <row r="1118">
          <cell r="A1118">
            <v>0</v>
          </cell>
          <cell r="H1118">
            <v>0</v>
          </cell>
        </row>
        <row r="1119">
          <cell r="A1119">
            <v>0</v>
          </cell>
          <cell r="H1119">
            <v>0</v>
          </cell>
        </row>
        <row r="1120">
          <cell r="A1120">
            <v>0</v>
          </cell>
          <cell r="H1120">
            <v>0</v>
          </cell>
        </row>
        <row r="1121">
          <cell r="A1121">
            <v>0</v>
          </cell>
          <cell r="H1121">
            <v>0</v>
          </cell>
        </row>
        <row r="1122">
          <cell r="A1122">
            <v>0</v>
          </cell>
          <cell r="H1122">
            <v>0</v>
          </cell>
        </row>
        <row r="1123">
          <cell r="A1123">
            <v>0</v>
          </cell>
          <cell r="H1123">
            <v>0</v>
          </cell>
        </row>
        <row r="1124">
          <cell r="A1124">
            <v>0</v>
          </cell>
          <cell r="H1124">
            <v>0</v>
          </cell>
        </row>
        <row r="1125">
          <cell r="A1125">
            <v>0</v>
          </cell>
          <cell r="H1125">
            <v>0</v>
          </cell>
        </row>
        <row r="1126">
          <cell r="A1126">
            <v>0</v>
          </cell>
          <cell r="H1126">
            <v>0</v>
          </cell>
        </row>
        <row r="1127">
          <cell r="A1127">
            <v>0</v>
          </cell>
          <cell r="H1127">
            <v>0</v>
          </cell>
        </row>
        <row r="1128">
          <cell r="A1128">
            <v>0</v>
          </cell>
          <cell r="H1128">
            <v>0</v>
          </cell>
        </row>
        <row r="1129">
          <cell r="A1129">
            <v>0</v>
          </cell>
          <cell r="H1129">
            <v>0</v>
          </cell>
        </row>
        <row r="1130">
          <cell r="A1130">
            <v>0</v>
          </cell>
          <cell r="H1130">
            <v>0</v>
          </cell>
        </row>
        <row r="1131">
          <cell r="A1131">
            <v>0</v>
          </cell>
          <cell r="H1131">
            <v>0</v>
          </cell>
        </row>
        <row r="1132">
          <cell r="A1132">
            <v>0</v>
          </cell>
          <cell r="H1132">
            <v>0</v>
          </cell>
        </row>
        <row r="1133">
          <cell r="A1133">
            <v>0</v>
          </cell>
          <cell r="H1133">
            <v>0</v>
          </cell>
        </row>
        <row r="1134">
          <cell r="A1134">
            <v>0</v>
          </cell>
          <cell r="H1134">
            <v>0</v>
          </cell>
        </row>
        <row r="1135">
          <cell r="A1135">
            <v>0</v>
          </cell>
          <cell r="H1135">
            <v>0</v>
          </cell>
        </row>
        <row r="1136">
          <cell r="A1136">
            <v>0</v>
          </cell>
          <cell r="H1136">
            <v>0</v>
          </cell>
        </row>
        <row r="1137">
          <cell r="A1137">
            <v>0</v>
          </cell>
          <cell r="H1137">
            <v>0</v>
          </cell>
        </row>
        <row r="1138">
          <cell r="A1138">
            <v>0</v>
          </cell>
          <cell r="H1138">
            <v>0</v>
          </cell>
        </row>
        <row r="1139">
          <cell r="A1139">
            <v>0</v>
          </cell>
          <cell r="H1139">
            <v>0</v>
          </cell>
        </row>
        <row r="1140">
          <cell r="A1140">
            <v>0</v>
          </cell>
          <cell r="H1140">
            <v>0</v>
          </cell>
        </row>
        <row r="1141">
          <cell r="A1141">
            <v>0</v>
          </cell>
          <cell r="H1141">
            <v>0</v>
          </cell>
        </row>
        <row r="1142">
          <cell r="A1142">
            <v>0</v>
          </cell>
          <cell r="H1142">
            <v>0</v>
          </cell>
        </row>
        <row r="1143">
          <cell r="A1143">
            <v>0</v>
          </cell>
          <cell r="H1143">
            <v>0</v>
          </cell>
        </row>
        <row r="1144">
          <cell r="A1144">
            <v>0</v>
          </cell>
          <cell r="H1144">
            <v>0</v>
          </cell>
        </row>
        <row r="1145">
          <cell r="A1145">
            <v>0</v>
          </cell>
          <cell r="H1145">
            <v>0</v>
          </cell>
        </row>
        <row r="1146">
          <cell r="A1146">
            <v>0</v>
          </cell>
          <cell r="H1146">
            <v>0</v>
          </cell>
        </row>
        <row r="1147">
          <cell r="A1147">
            <v>0</v>
          </cell>
          <cell r="H1147">
            <v>0</v>
          </cell>
        </row>
        <row r="1148">
          <cell r="A1148">
            <v>0</v>
          </cell>
          <cell r="H1148">
            <v>0</v>
          </cell>
        </row>
        <row r="1149">
          <cell r="A1149">
            <v>0</v>
          </cell>
          <cell r="H1149">
            <v>0</v>
          </cell>
        </row>
        <row r="1150">
          <cell r="A1150">
            <v>0</v>
          </cell>
          <cell r="H1150">
            <v>0</v>
          </cell>
        </row>
        <row r="1151">
          <cell r="A1151">
            <v>0</v>
          </cell>
          <cell r="H1151">
            <v>0</v>
          </cell>
        </row>
        <row r="1152">
          <cell r="A1152">
            <v>0</v>
          </cell>
          <cell r="H1152">
            <v>0</v>
          </cell>
        </row>
        <row r="1153">
          <cell r="A1153">
            <v>0</v>
          </cell>
          <cell r="H1153">
            <v>0</v>
          </cell>
        </row>
        <row r="1154">
          <cell r="A1154">
            <v>0</v>
          </cell>
          <cell r="H1154">
            <v>0</v>
          </cell>
        </row>
        <row r="1155">
          <cell r="A1155">
            <v>0</v>
          </cell>
          <cell r="H1155">
            <v>0</v>
          </cell>
        </row>
        <row r="1156">
          <cell r="A1156">
            <v>0</v>
          </cell>
          <cell r="H1156">
            <v>0</v>
          </cell>
        </row>
        <row r="1157">
          <cell r="A1157">
            <v>0</v>
          </cell>
          <cell r="H1157">
            <v>0</v>
          </cell>
        </row>
        <row r="1158">
          <cell r="A1158">
            <v>0</v>
          </cell>
          <cell r="H1158">
            <v>0</v>
          </cell>
        </row>
        <row r="1159">
          <cell r="A1159">
            <v>0</v>
          </cell>
          <cell r="H1159">
            <v>0</v>
          </cell>
        </row>
        <row r="1160">
          <cell r="A1160">
            <v>0</v>
          </cell>
          <cell r="H1160">
            <v>0</v>
          </cell>
        </row>
        <row r="1161">
          <cell r="A1161">
            <v>0</v>
          </cell>
          <cell r="H1161">
            <v>0</v>
          </cell>
        </row>
        <row r="1162">
          <cell r="A1162">
            <v>0</v>
          </cell>
          <cell r="H1162">
            <v>0</v>
          </cell>
        </row>
        <row r="1163">
          <cell r="A1163">
            <v>0</v>
          </cell>
          <cell r="H1163">
            <v>0</v>
          </cell>
        </row>
        <row r="1164">
          <cell r="A1164">
            <v>0</v>
          </cell>
          <cell r="H1164">
            <v>0</v>
          </cell>
        </row>
        <row r="1165">
          <cell r="A1165">
            <v>0</v>
          </cell>
          <cell r="H1165">
            <v>0</v>
          </cell>
        </row>
        <row r="1166">
          <cell r="A1166">
            <v>0</v>
          </cell>
          <cell r="H1166">
            <v>0</v>
          </cell>
        </row>
        <row r="1167">
          <cell r="A1167">
            <v>0</v>
          </cell>
          <cell r="H1167">
            <v>0</v>
          </cell>
        </row>
        <row r="1168">
          <cell r="A1168">
            <v>0</v>
          </cell>
          <cell r="H1168">
            <v>0</v>
          </cell>
        </row>
        <row r="1169">
          <cell r="A1169">
            <v>0</v>
          </cell>
          <cell r="H1169">
            <v>0</v>
          </cell>
        </row>
        <row r="1170">
          <cell r="A1170">
            <v>0</v>
          </cell>
          <cell r="H1170">
            <v>0</v>
          </cell>
        </row>
        <row r="1171">
          <cell r="A1171">
            <v>0</v>
          </cell>
          <cell r="H1171">
            <v>0</v>
          </cell>
        </row>
        <row r="1172">
          <cell r="A1172">
            <v>0</v>
          </cell>
          <cell r="H1172">
            <v>0</v>
          </cell>
        </row>
        <row r="1173">
          <cell r="A1173">
            <v>0</v>
          </cell>
          <cell r="H1173">
            <v>0</v>
          </cell>
        </row>
        <row r="1174">
          <cell r="A1174">
            <v>0</v>
          </cell>
          <cell r="H1174">
            <v>0</v>
          </cell>
        </row>
        <row r="1175">
          <cell r="A1175">
            <v>0</v>
          </cell>
          <cell r="H1175">
            <v>0</v>
          </cell>
        </row>
        <row r="1176">
          <cell r="A1176">
            <v>0</v>
          </cell>
          <cell r="H1176">
            <v>0</v>
          </cell>
        </row>
        <row r="1177">
          <cell r="A1177">
            <v>0</v>
          </cell>
          <cell r="H1177">
            <v>0</v>
          </cell>
        </row>
        <row r="1178">
          <cell r="A1178">
            <v>0</v>
          </cell>
          <cell r="H1178">
            <v>0</v>
          </cell>
        </row>
        <row r="1179">
          <cell r="A1179">
            <v>0</v>
          </cell>
          <cell r="H1179">
            <v>0</v>
          </cell>
        </row>
        <row r="1180">
          <cell r="A1180">
            <v>0</v>
          </cell>
          <cell r="H1180">
            <v>0</v>
          </cell>
        </row>
        <row r="1181">
          <cell r="A1181">
            <v>0</v>
          </cell>
          <cell r="H1181">
            <v>0</v>
          </cell>
        </row>
        <row r="1182">
          <cell r="A1182">
            <v>0</v>
          </cell>
          <cell r="H1182">
            <v>0</v>
          </cell>
        </row>
        <row r="1183">
          <cell r="A1183">
            <v>0</v>
          </cell>
          <cell r="H1183">
            <v>0</v>
          </cell>
        </row>
        <row r="1184">
          <cell r="A1184">
            <v>0</v>
          </cell>
          <cell r="H1184">
            <v>0</v>
          </cell>
        </row>
        <row r="1185">
          <cell r="A1185">
            <v>0</v>
          </cell>
          <cell r="H1185">
            <v>0</v>
          </cell>
        </row>
        <row r="1186">
          <cell r="A1186">
            <v>0</v>
          </cell>
          <cell r="H1186">
            <v>0</v>
          </cell>
        </row>
        <row r="1187">
          <cell r="A1187">
            <v>0</v>
          </cell>
          <cell r="H1187">
            <v>0</v>
          </cell>
        </row>
        <row r="1188">
          <cell r="A1188">
            <v>0</v>
          </cell>
          <cell r="H1188">
            <v>0</v>
          </cell>
        </row>
        <row r="1189">
          <cell r="A1189">
            <v>0</v>
          </cell>
          <cell r="H1189">
            <v>0</v>
          </cell>
        </row>
        <row r="1190">
          <cell r="A1190">
            <v>0</v>
          </cell>
          <cell r="H1190">
            <v>0</v>
          </cell>
        </row>
        <row r="1191">
          <cell r="A1191">
            <v>0</v>
          </cell>
          <cell r="H1191">
            <v>0</v>
          </cell>
        </row>
        <row r="1192">
          <cell r="A1192">
            <v>0</v>
          </cell>
          <cell r="H1192">
            <v>0</v>
          </cell>
        </row>
        <row r="1193">
          <cell r="A1193">
            <v>0</v>
          </cell>
          <cell r="H1193">
            <v>0</v>
          </cell>
        </row>
        <row r="1194">
          <cell r="A1194">
            <v>0</v>
          </cell>
          <cell r="H1194">
            <v>0</v>
          </cell>
        </row>
        <row r="1195">
          <cell r="A1195">
            <v>0</v>
          </cell>
          <cell r="H1195">
            <v>0</v>
          </cell>
        </row>
        <row r="1196">
          <cell r="A1196">
            <v>0</v>
          </cell>
          <cell r="H1196">
            <v>0</v>
          </cell>
        </row>
        <row r="1197">
          <cell r="A1197">
            <v>0</v>
          </cell>
          <cell r="H1197">
            <v>0</v>
          </cell>
        </row>
        <row r="1198">
          <cell r="A1198">
            <v>0</v>
          </cell>
          <cell r="H1198">
            <v>0</v>
          </cell>
        </row>
        <row r="1199">
          <cell r="A1199">
            <v>0</v>
          </cell>
          <cell r="H1199">
            <v>0</v>
          </cell>
        </row>
        <row r="1200">
          <cell r="A1200">
            <v>0</v>
          </cell>
          <cell r="H1200">
            <v>0</v>
          </cell>
        </row>
        <row r="1201">
          <cell r="A1201">
            <v>0</v>
          </cell>
          <cell r="H1201">
            <v>0</v>
          </cell>
        </row>
        <row r="1202">
          <cell r="A1202">
            <v>0</v>
          </cell>
          <cell r="H1202">
            <v>0</v>
          </cell>
        </row>
        <row r="1203">
          <cell r="A1203">
            <v>0</v>
          </cell>
          <cell r="H1203">
            <v>0</v>
          </cell>
        </row>
        <row r="1204">
          <cell r="A1204">
            <v>0</v>
          </cell>
          <cell r="H1204">
            <v>0</v>
          </cell>
        </row>
        <row r="1205">
          <cell r="A1205">
            <v>0</v>
          </cell>
          <cell r="H1205">
            <v>0</v>
          </cell>
        </row>
        <row r="1206">
          <cell r="A1206">
            <v>0</v>
          </cell>
          <cell r="H1206">
            <v>0</v>
          </cell>
        </row>
        <row r="1207">
          <cell r="A1207">
            <v>0</v>
          </cell>
          <cell r="H1207">
            <v>0</v>
          </cell>
        </row>
        <row r="1208">
          <cell r="A1208">
            <v>0</v>
          </cell>
          <cell r="H1208">
            <v>0</v>
          </cell>
        </row>
        <row r="1209">
          <cell r="A1209">
            <v>0</v>
          </cell>
          <cell r="H1209">
            <v>0</v>
          </cell>
        </row>
        <row r="1210">
          <cell r="A1210">
            <v>0</v>
          </cell>
          <cell r="H1210">
            <v>0</v>
          </cell>
        </row>
        <row r="1211">
          <cell r="A1211">
            <v>0</v>
          </cell>
          <cell r="H1211">
            <v>0</v>
          </cell>
        </row>
        <row r="1212">
          <cell r="A1212">
            <v>0</v>
          </cell>
          <cell r="H1212">
            <v>0</v>
          </cell>
        </row>
        <row r="1213">
          <cell r="A1213">
            <v>0</v>
          </cell>
          <cell r="H1213">
            <v>0</v>
          </cell>
        </row>
        <row r="1214">
          <cell r="A1214">
            <v>0</v>
          </cell>
          <cell r="H1214">
            <v>0</v>
          </cell>
        </row>
        <row r="1215">
          <cell r="A1215">
            <v>0</v>
          </cell>
          <cell r="H1215">
            <v>0</v>
          </cell>
        </row>
        <row r="1216">
          <cell r="A1216">
            <v>0</v>
          </cell>
          <cell r="H1216">
            <v>0</v>
          </cell>
        </row>
        <row r="1217">
          <cell r="A1217">
            <v>0</v>
          </cell>
          <cell r="H1217">
            <v>0</v>
          </cell>
        </row>
        <row r="1218">
          <cell r="A1218">
            <v>0</v>
          </cell>
          <cell r="H1218">
            <v>0</v>
          </cell>
        </row>
        <row r="1219">
          <cell r="A1219">
            <v>0</v>
          </cell>
          <cell r="H1219">
            <v>0</v>
          </cell>
        </row>
        <row r="1220">
          <cell r="A1220">
            <v>0</v>
          </cell>
          <cell r="H1220">
            <v>0</v>
          </cell>
        </row>
        <row r="1221">
          <cell r="A1221">
            <v>0</v>
          </cell>
          <cell r="H1221">
            <v>0</v>
          </cell>
        </row>
        <row r="1222">
          <cell r="A1222">
            <v>0</v>
          </cell>
          <cell r="H1222">
            <v>0</v>
          </cell>
        </row>
        <row r="1223">
          <cell r="A1223">
            <v>0</v>
          </cell>
          <cell r="H1223">
            <v>0</v>
          </cell>
        </row>
        <row r="1224">
          <cell r="A1224">
            <v>0</v>
          </cell>
          <cell r="H1224">
            <v>0</v>
          </cell>
        </row>
        <row r="1225">
          <cell r="A1225">
            <v>0</v>
          </cell>
          <cell r="H1225">
            <v>0</v>
          </cell>
        </row>
        <row r="1226">
          <cell r="A1226">
            <v>0</v>
          </cell>
          <cell r="H1226">
            <v>0</v>
          </cell>
        </row>
        <row r="1227">
          <cell r="A1227">
            <v>0</v>
          </cell>
          <cell r="H1227">
            <v>0</v>
          </cell>
        </row>
        <row r="1228">
          <cell r="A1228">
            <v>0</v>
          </cell>
          <cell r="H1228">
            <v>0</v>
          </cell>
        </row>
        <row r="1229">
          <cell r="A1229">
            <v>0</v>
          </cell>
          <cell r="H1229">
            <v>0</v>
          </cell>
        </row>
        <row r="1230">
          <cell r="A1230">
            <v>0</v>
          </cell>
          <cell r="H1230">
            <v>0</v>
          </cell>
        </row>
        <row r="1231">
          <cell r="A1231">
            <v>0</v>
          </cell>
          <cell r="H1231">
            <v>0</v>
          </cell>
        </row>
        <row r="1232">
          <cell r="A1232">
            <v>0</v>
          </cell>
          <cell r="H1232">
            <v>0</v>
          </cell>
        </row>
        <row r="1233">
          <cell r="A1233">
            <v>0</v>
          </cell>
          <cell r="H1233">
            <v>0</v>
          </cell>
        </row>
        <row r="1234">
          <cell r="A1234">
            <v>0</v>
          </cell>
          <cell r="H1234">
            <v>0</v>
          </cell>
        </row>
        <row r="1235">
          <cell r="A1235">
            <v>0</v>
          </cell>
          <cell r="H1235">
            <v>0</v>
          </cell>
        </row>
        <row r="1236">
          <cell r="A1236">
            <v>0</v>
          </cell>
          <cell r="H1236">
            <v>0</v>
          </cell>
        </row>
        <row r="1237">
          <cell r="A1237">
            <v>0</v>
          </cell>
          <cell r="H1237">
            <v>0</v>
          </cell>
        </row>
        <row r="1238">
          <cell r="A1238">
            <v>0</v>
          </cell>
          <cell r="H1238">
            <v>0</v>
          </cell>
        </row>
        <row r="1239">
          <cell r="A1239">
            <v>0</v>
          </cell>
          <cell r="H1239">
            <v>0</v>
          </cell>
        </row>
        <row r="1240">
          <cell r="A1240">
            <v>0</v>
          </cell>
          <cell r="H1240">
            <v>0</v>
          </cell>
        </row>
        <row r="1241">
          <cell r="A1241">
            <v>0</v>
          </cell>
          <cell r="H1241">
            <v>0</v>
          </cell>
        </row>
        <row r="1242">
          <cell r="A1242">
            <v>0</v>
          </cell>
          <cell r="H1242">
            <v>0</v>
          </cell>
        </row>
        <row r="1243">
          <cell r="A1243">
            <v>0</v>
          </cell>
          <cell r="H1243">
            <v>0</v>
          </cell>
        </row>
        <row r="1244">
          <cell r="A1244">
            <v>0</v>
          </cell>
          <cell r="H1244">
            <v>0</v>
          </cell>
        </row>
        <row r="1245">
          <cell r="A1245">
            <v>0</v>
          </cell>
          <cell r="H1245">
            <v>0</v>
          </cell>
        </row>
        <row r="1246">
          <cell r="A1246">
            <v>0</v>
          </cell>
          <cell r="H1246">
            <v>0</v>
          </cell>
        </row>
        <row r="1247">
          <cell r="A1247">
            <v>0</v>
          </cell>
          <cell r="H1247">
            <v>0</v>
          </cell>
        </row>
        <row r="1248">
          <cell r="A1248">
            <v>0</v>
          </cell>
          <cell r="H1248">
            <v>0</v>
          </cell>
        </row>
        <row r="1249">
          <cell r="A1249">
            <v>0</v>
          </cell>
          <cell r="H1249">
            <v>0</v>
          </cell>
        </row>
        <row r="1250">
          <cell r="A1250">
            <v>0</v>
          </cell>
          <cell r="H1250">
            <v>0</v>
          </cell>
        </row>
        <row r="1251">
          <cell r="A1251">
            <v>0</v>
          </cell>
          <cell r="H1251">
            <v>0</v>
          </cell>
        </row>
        <row r="1252">
          <cell r="A1252">
            <v>0</v>
          </cell>
          <cell r="H1252">
            <v>0</v>
          </cell>
        </row>
        <row r="1253">
          <cell r="A1253">
            <v>0</v>
          </cell>
          <cell r="H1253">
            <v>0</v>
          </cell>
        </row>
        <row r="1254">
          <cell r="A1254">
            <v>0</v>
          </cell>
          <cell r="H1254">
            <v>0</v>
          </cell>
        </row>
        <row r="1255">
          <cell r="A1255">
            <v>0</v>
          </cell>
          <cell r="H1255">
            <v>0</v>
          </cell>
        </row>
        <row r="1256">
          <cell r="A1256">
            <v>0</v>
          </cell>
          <cell r="H1256">
            <v>0</v>
          </cell>
        </row>
        <row r="1257">
          <cell r="A1257">
            <v>0</v>
          </cell>
          <cell r="H1257">
            <v>0</v>
          </cell>
        </row>
        <row r="1258">
          <cell r="A1258">
            <v>0</v>
          </cell>
          <cell r="H1258">
            <v>0</v>
          </cell>
        </row>
        <row r="1259">
          <cell r="A1259">
            <v>0</v>
          </cell>
          <cell r="H1259">
            <v>0</v>
          </cell>
        </row>
        <row r="1260">
          <cell r="A1260">
            <v>0</v>
          </cell>
          <cell r="H1260">
            <v>0</v>
          </cell>
        </row>
        <row r="1261">
          <cell r="A1261">
            <v>0</v>
          </cell>
          <cell r="H1261">
            <v>0</v>
          </cell>
        </row>
        <row r="1262">
          <cell r="A1262">
            <v>0</v>
          </cell>
          <cell r="H1262">
            <v>0</v>
          </cell>
        </row>
        <row r="1263">
          <cell r="A1263">
            <v>0</v>
          </cell>
          <cell r="H1263">
            <v>0</v>
          </cell>
        </row>
        <row r="1264">
          <cell r="A1264">
            <v>0</v>
          </cell>
          <cell r="H1264">
            <v>0</v>
          </cell>
        </row>
        <row r="1265">
          <cell r="A1265">
            <v>0</v>
          </cell>
          <cell r="H1265">
            <v>0</v>
          </cell>
        </row>
        <row r="1266">
          <cell r="A1266">
            <v>0</v>
          </cell>
          <cell r="H1266">
            <v>0</v>
          </cell>
        </row>
        <row r="1267">
          <cell r="A1267">
            <v>0</v>
          </cell>
          <cell r="H1267">
            <v>0</v>
          </cell>
        </row>
        <row r="1268">
          <cell r="A1268">
            <v>0</v>
          </cell>
          <cell r="H1268">
            <v>0</v>
          </cell>
        </row>
        <row r="1269">
          <cell r="A1269">
            <v>0</v>
          </cell>
          <cell r="H1269">
            <v>0</v>
          </cell>
        </row>
        <row r="1270">
          <cell r="A1270">
            <v>0</v>
          </cell>
          <cell r="H1270">
            <v>0</v>
          </cell>
        </row>
        <row r="1271">
          <cell r="A1271">
            <v>0</v>
          </cell>
          <cell r="H1271">
            <v>0</v>
          </cell>
        </row>
        <row r="1272">
          <cell r="A1272">
            <v>0</v>
          </cell>
          <cell r="H1272">
            <v>0</v>
          </cell>
        </row>
        <row r="1273">
          <cell r="A1273">
            <v>0</v>
          </cell>
          <cell r="H1273">
            <v>0</v>
          </cell>
        </row>
        <row r="1274">
          <cell r="A1274">
            <v>0</v>
          </cell>
          <cell r="H1274">
            <v>0</v>
          </cell>
        </row>
        <row r="1275">
          <cell r="A1275">
            <v>0</v>
          </cell>
          <cell r="H1275">
            <v>0</v>
          </cell>
        </row>
        <row r="1276">
          <cell r="A1276">
            <v>0</v>
          </cell>
          <cell r="H1276">
            <v>0</v>
          </cell>
        </row>
        <row r="1277">
          <cell r="A1277">
            <v>0</v>
          </cell>
          <cell r="H1277">
            <v>0</v>
          </cell>
        </row>
        <row r="1278">
          <cell r="A1278">
            <v>0</v>
          </cell>
          <cell r="H1278">
            <v>0</v>
          </cell>
        </row>
        <row r="1279">
          <cell r="A1279">
            <v>0</v>
          </cell>
          <cell r="H1279">
            <v>0</v>
          </cell>
        </row>
        <row r="1280">
          <cell r="A1280">
            <v>0</v>
          </cell>
          <cell r="H1280">
            <v>0</v>
          </cell>
        </row>
        <row r="1281">
          <cell r="A1281">
            <v>0</v>
          </cell>
          <cell r="H1281">
            <v>0</v>
          </cell>
        </row>
        <row r="1282">
          <cell r="A1282">
            <v>0</v>
          </cell>
          <cell r="H1282">
            <v>0</v>
          </cell>
        </row>
        <row r="1283">
          <cell r="A1283">
            <v>0</v>
          </cell>
          <cell r="H1283">
            <v>0</v>
          </cell>
        </row>
        <row r="1284">
          <cell r="A1284">
            <v>0</v>
          </cell>
          <cell r="H1284">
            <v>0</v>
          </cell>
        </row>
        <row r="1285">
          <cell r="A1285">
            <v>0</v>
          </cell>
          <cell r="H1285">
            <v>0</v>
          </cell>
        </row>
        <row r="1286">
          <cell r="A1286">
            <v>0</v>
          </cell>
          <cell r="H1286">
            <v>0</v>
          </cell>
        </row>
        <row r="1287">
          <cell r="A1287">
            <v>0</v>
          </cell>
          <cell r="H1287">
            <v>0</v>
          </cell>
        </row>
        <row r="1288">
          <cell r="A1288">
            <v>0</v>
          </cell>
          <cell r="H1288">
            <v>0</v>
          </cell>
        </row>
        <row r="1289">
          <cell r="A1289">
            <v>0</v>
          </cell>
          <cell r="H1289">
            <v>0</v>
          </cell>
        </row>
        <row r="1290">
          <cell r="A1290">
            <v>0</v>
          </cell>
          <cell r="H1290">
            <v>0</v>
          </cell>
        </row>
        <row r="1291">
          <cell r="A1291">
            <v>0</v>
          </cell>
          <cell r="H1291">
            <v>0</v>
          </cell>
        </row>
        <row r="1292">
          <cell r="A1292">
            <v>0</v>
          </cell>
          <cell r="H1292">
            <v>0</v>
          </cell>
        </row>
        <row r="1293">
          <cell r="A1293">
            <v>0</v>
          </cell>
          <cell r="H1293">
            <v>0</v>
          </cell>
        </row>
        <row r="1294">
          <cell r="A1294">
            <v>0</v>
          </cell>
          <cell r="H1294">
            <v>0</v>
          </cell>
        </row>
        <row r="1295">
          <cell r="A1295">
            <v>0</v>
          </cell>
          <cell r="H1295">
            <v>0</v>
          </cell>
        </row>
        <row r="1296">
          <cell r="A1296">
            <v>0</v>
          </cell>
          <cell r="H1296">
            <v>0</v>
          </cell>
        </row>
        <row r="1297">
          <cell r="A1297">
            <v>0</v>
          </cell>
          <cell r="H1297">
            <v>0</v>
          </cell>
        </row>
        <row r="1298">
          <cell r="A1298">
            <v>0</v>
          </cell>
          <cell r="H1298">
            <v>0</v>
          </cell>
        </row>
        <row r="1299">
          <cell r="A1299">
            <v>0</v>
          </cell>
          <cell r="H1299">
            <v>0</v>
          </cell>
        </row>
        <row r="1300">
          <cell r="A1300">
            <v>0</v>
          </cell>
          <cell r="H1300">
            <v>0</v>
          </cell>
        </row>
        <row r="1301">
          <cell r="A1301">
            <v>0</v>
          </cell>
          <cell r="H1301">
            <v>0</v>
          </cell>
        </row>
        <row r="1302">
          <cell r="A1302">
            <v>0</v>
          </cell>
          <cell r="H1302">
            <v>0</v>
          </cell>
        </row>
        <row r="1303">
          <cell r="A1303">
            <v>0</v>
          </cell>
          <cell r="H1303">
            <v>0</v>
          </cell>
        </row>
        <row r="1304">
          <cell r="A1304">
            <v>0</v>
          </cell>
          <cell r="H1304">
            <v>0</v>
          </cell>
        </row>
        <row r="1305">
          <cell r="A1305">
            <v>0</v>
          </cell>
          <cell r="H1305">
            <v>0</v>
          </cell>
        </row>
        <row r="1306">
          <cell r="A1306">
            <v>0</v>
          </cell>
          <cell r="H1306">
            <v>0</v>
          </cell>
        </row>
        <row r="1307">
          <cell r="A1307">
            <v>0</v>
          </cell>
          <cell r="H1307">
            <v>0</v>
          </cell>
        </row>
        <row r="1308">
          <cell r="A1308">
            <v>0</v>
          </cell>
          <cell r="H1308">
            <v>0</v>
          </cell>
        </row>
        <row r="1309">
          <cell r="A1309">
            <v>0</v>
          </cell>
          <cell r="H1309">
            <v>0</v>
          </cell>
        </row>
        <row r="1310">
          <cell r="A1310">
            <v>0</v>
          </cell>
          <cell r="H1310">
            <v>0</v>
          </cell>
        </row>
        <row r="1311">
          <cell r="A1311">
            <v>0</v>
          </cell>
          <cell r="H1311">
            <v>0</v>
          </cell>
        </row>
        <row r="1312">
          <cell r="A1312">
            <v>0</v>
          </cell>
          <cell r="H1312">
            <v>0</v>
          </cell>
        </row>
        <row r="1313">
          <cell r="A1313">
            <v>0</v>
          </cell>
          <cell r="H1313">
            <v>0</v>
          </cell>
        </row>
        <row r="1314">
          <cell r="A1314">
            <v>0</v>
          </cell>
          <cell r="H1314">
            <v>0</v>
          </cell>
        </row>
        <row r="1315">
          <cell r="A1315">
            <v>0</v>
          </cell>
          <cell r="H1315">
            <v>0</v>
          </cell>
        </row>
        <row r="1316">
          <cell r="A1316">
            <v>0</v>
          </cell>
          <cell r="H1316">
            <v>0</v>
          </cell>
        </row>
        <row r="1317">
          <cell r="A1317">
            <v>0</v>
          </cell>
          <cell r="H1317">
            <v>0</v>
          </cell>
        </row>
        <row r="1318">
          <cell r="A1318">
            <v>0</v>
          </cell>
          <cell r="H1318">
            <v>0</v>
          </cell>
        </row>
        <row r="1319">
          <cell r="A1319">
            <v>0</v>
          </cell>
          <cell r="H1319">
            <v>0</v>
          </cell>
        </row>
        <row r="1320">
          <cell r="A1320">
            <v>0</v>
          </cell>
          <cell r="H1320">
            <v>0</v>
          </cell>
        </row>
        <row r="1321">
          <cell r="A1321">
            <v>0</v>
          </cell>
          <cell r="H1321">
            <v>0</v>
          </cell>
        </row>
        <row r="1322">
          <cell r="A1322">
            <v>0</v>
          </cell>
          <cell r="H1322">
            <v>0</v>
          </cell>
        </row>
        <row r="1323">
          <cell r="A1323">
            <v>0</v>
          </cell>
          <cell r="H1323">
            <v>0</v>
          </cell>
        </row>
        <row r="1324">
          <cell r="A1324">
            <v>0</v>
          </cell>
          <cell r="H1324">
            <v>0</v>
          </cell>
        </row>
        <row r="1325">
          <cell r="A1325">
            <v>0</v>
          </cell>
          <cell r="H1325">
            <v>0</v>
          </cell>
        </row>
        <row r="1326">
          <cell r="A1326">
            <v>0</v>
          </cell>
          <cell r="H1326">
            <v>0</v>
          </cell>
        </row>
        <row r="1327">
          <cell r="A1327">
            <v>0</v>
          </cell>
          <cell r="H1327">
            <v>0</v>
          </cell>
        </row>
        <row r="1328">
          <cell r="A1328">
            <v>0</v>
          </cell>
          <cell r="H1328">
            <v>0</v>
          </cell>
        </row>
        <row r="1329">
          <cell r="A1329">
            <v>0</v>
          </cell>
          <cell r="H1329">
            <v>0</v>
          </cell>
        </row>
        <row r="1330">
          <cell r="A1330">
            <v>0</v>
          </cell>
          <cell r="H1330">
            <v>0</v>
          </cell>
        </row>
        <row r="1331">
          <cell r="A1331">
            <v>0</v>
          </cell>
          <cell r="H1331">
            <v>0</v>
          </cell>
        </row>
        <row r="1332">
          <cell r="A1332">
            <v>0</v>
          </cell>
          <cell r="H1332">
            <v>0</v>
          </cell>
        </row>
        <row r="1333">
          <cell r="A1333">
            <v>0</v>
          </cell>
          <cell r="H1333">
            <v>0</v>
          </cell>
        </row>
        <row r="1334">
          <cell r="A1334">
            <v>0</v>
          </cell>
          <cell r="H1334">
            <v>0</v>
          </cell>
        </row>
        <row r="1335">
          <cell r="A1335">
            <v>0</v>
          </cell>
          <cell r="H1335">
            <v>0</v>
          </cell>
        </row>
        <row r="1336">
          <cell r="A1336">
            <v>0</v>
          </cell>
          <cell r="H1336">
            <v>0</v>
          </cell>
        </row>
        <row r="1337">
          <cell r="A1337">
            <v>0</v>
          </cell>
          <cell r="H1337">
            <v>0</v>
          </cell>
        </row>
        <row r="1338">
          <cell r="A1338">
            <v>0</v>
          </cell>
          <cell r="H1338">
            <v>0</v>
          </cell>
        </row>
        <row r="1339">
          <cell r="A1339">
            <v>0</v>
          </cell>
          <cell r="H1339">
            <v>0</v>
          </cell>
        </row>
        <row r="1340">
          <cell r="A1340">
            <v>0</v>
          </cell>
          <cell r="H1340">
            <v>0</v>
          </cell>
        </row>
        <row r="1341">
          <cell r="A1341">
            <v>0</v>
          </cell>
          <cell r="H1341">
            <v>0</v>
          </cell>
        </row>
        <row r="1342">
          <cell r="A1342">
            <v>0</v>
          </cell>
          <cell r="H1342">
            <v>0</v>
          </cell>
        </row>
        <row r="1343">
          <cell r="A1343">
            <v>0</v>
          </cell>
          <cell r="H1343">
            <v>0</v>
          </cell>
        </row>
        <row r="1344">
          <cell r="A1344">
            <v>0</v>
          </cell>
          <cell r="H1344">
            <v>0</v>
          </cell>
        </row>
        <row r="1345">
          <cell r="A1345">
            <v>0</v>
          </cell>
          <cell r="H1345">
            <v>0</v>
          </cell>
        </row>
        <row r="1346">
          <cell r="A1346">
            <v>0</v>
          </cell>
          <cell r="H1346">
            <v>0</v>
          </cell>
        </row>
        <row r="1347">
          <cell r="A1347">
            <v>0</v>
          </cell>
          <cell r="H1347">
            <v>0</v>
          </cell>
        </row>
        <row r="1348">
          <cell r="A1348">
            <v>0</v>
          </cell>
          <cell r="H1348">
            <v>0</v>
          </cell>
        </row>
        <row r="1349">
          <cell r="A1349">
            <v>0</v>
          </cell>
          <cell r="H1349">
            <v>0</v>
          </cell>
        </row>
        <row r="1350">
          <cell r="A1350">
            <v>0</v>
          </cell>
          <cell r="H1350">
            <v>0</v>
          </cell>
        </row>
        <row r="1351">
          <cell r="A1351">
            <v>0</v>
          </cell>
          <cell r="H1351">
            <v>0</v>
          </cell>
        </row>
        <row r="1352">
          <cell r="A1352">
            <v>0</v>
          </cell>
          <cell r="H1352">
            <v>0</v>
          </cell>
        </row>
        <row r="1353">
          <cell r="A1353">
            <v>0</v>
          </cell>
          <cell r="H1353">
            <v>0</v>
          </cell>
        </row>
        <row r="1354">
          <cell r="A1354">
            <v>0</v>
          </cell>
          <cell r="H1354">
            <v>0</v>
          </cell>
        </row>
        <row r="1355">
          <cell r="A1355">
            <v>0</v>
          </cell>
          <cell r="H1355">
            <v>0</v>
          </cell>
        </row>
        <row r="1356">
          <cell r="A1356">
            <v>0</v>
          </cell>
          <cell r="H1356">
            <v>0</v>
          </cell>
        </row>
        <row r="1357">
          <cell r="A1357">
            <v>0</v>
          </cell>
          <cell r="H1357">
            <v>0</v>
          </cell>
        </row>
        <row r="1358">
          <cell r="A1358">
            <v>0</v>
          </cell>
          <cell r="H1358">
            <v>0</v>
          </cell>
        </row>
        <row r="1359">
          <cell r="A1359">
            <v>0</v>
          </cell>
          <cell r="H1359">
            <v>0</v>
          </cell>
        </row>
        <row r="1360">
          <cell r="A1360">
            <v>0</v>
          </cell>
          <cell r="H1360">
            <v>0</v>
          </cell>
        </row>
        <row r="1361">
          <cell r="A1361">
            <v>0</v>
          </cell>
          <cell r="H1361">
            <v>0</v>
          </cell>
        </row>
        <row r="1362">
          <cell r="A1362">
            <v>0</v>
          </cell>
          <cell r="H1362">
            <v>0</v>
          </cell>
        </row>
        <row r="1363">
          <cell r="A1363">
            <v>0</v>
          </cell>
          <cell r="H1363">
            <v>0</v>
          </cell>
        </row>
        <row r="1364">
          <cell r="A1364">
            <v>0</v>
          </cell>
          <cell r="H1364">
            <v>0</v>
          </cell>
        </row>
        <row r="1365">
          <cell r="A1365">
            <v>0</v>
          </cell>
          <cell r="H1365">
            <v>0</v>
          </cell>
        </row>
        <row r="1366">
          <cell r="A1366">
            <v>0</v>
          </cell>
          <cell r="H1366">
            <v>0</v>
          </cell>
        </row>
        <row r="1367">
          <cell r="A1367">
            <v>0</v>
          </cell>
          <cell r="H1367">
            <v>0</v>
          </cell>
        </row>
        <row r="1368">
          <cell r="A1368">
            <v>0</v>
          </cell>
          <cell r="H1368">
            <v>0</v>
          </cell>
        </row>
        <row r="1369">
          <cell r="A1369">
            <v>0</v>
          </cell>
          <cell r="H1369">
            <v>0</v>
          </cell>
        </row>
        <row r="1370">
          <cell r="A1370">
            <v>0</v>
          </cell>
          <cell r="H1370">
            <v>0</v>
          </cell>
        </row>
        <row r="1371">
          <cell r="A1371">
            <v>0</v>
          </cell>
          <cell r="H1371">
            <v>0</v>
          </cell>
        </row>
        <row r="1372">
          <cell r="A1372">
            <v>0</v>
          </cell>
          <cell r="H1372">
            <v>0</v>
          </cell>
        </row>
        <row r="1373">
          <cell r="A1373">
            <v>0</v>
          </cell>
          <cell r="H1373">
            <v>0</v>
          </cell>
        </row>
        <row r="1374">
          <cell r="A1374">
            <v>0</v>
          </cell>
          <cell r="H1374">
            <v>0</v>
          </cell>
        </row>
        <row r="1375">
          <cell r="A1375">
            <v>0</v>
          </cell>
          <cell r="H1375">
            <v>0</v>
          </cell>
        </row>
        <row r="1376">
          <cell r="A1376">
            <v>0</v>
          </cell>
          <cell r="H1376">
            <v>0</v>
          </cell>
        </row>
        <row r="1377">
          <cell r="A1377">
            <v>0</v>
          </cell>
          <cell r="H1377">
            <v>0</v>
          </cell>
        </row>
        <row r="1378">
          <cell r="A1378">
            <v>0</v>
          </cell>
          <cell r="H1378">
            <v>0</v>
          </cell>
        </row>
        <row r="1379">
          <cell r="A1379">
            <v>0</v>
          </cell>
          <cell r="H1379">
            <v>0</v>
          </cell>
        </row>
        <row r="1380">
          <cell r="A1380">
            <v>0</v>
          </cell>
          <cell r="H1380">
            <v>0</v>
          </cell>
        </row>
        <row r="1381">
          <cell r="A1381">
            <v>0</v>
          </cell>
          <cell r="H1381">
            <v>0</v>
          </cell>
        </row>
        <row r="1382">
          <cell r="A1382">
            <v>0</v>
          </cell>
          <cell r="H1382">
            <v>0</v>
          </cell>
        </row>
        <row r="1383">
          <cell r="A1383">
            <v>0</v>
          </cell>
          <cell r="H1383">
            <v>0</v>
          </cell>
        </row>
        <row r="1384">
          <cell r="A1384">
            <v>0</v>
          </cell>
          <cell r="H1384">
            <v>0</v>
          </cell>
        </row>
        <row r="1385">
          <cell r="A1385">
            <v>0</v>
          </cell>
          <cell r="H1385">
            <v>0</v>
          </cell>
        </row>
        <row r="1386">
          <cell r="A1386">
            <v>0</v>
          </cell>
          <cell r="H1386">
            <v>0</v>
          </cell>
        </row>
        <row r="1387">
          <cell r="A1387">
            <v>0</v>
          </cell>
          <cell r="H1387">
            <v>0</v>
          </cell>
        </row>
        <row r="1388">
          <cell r="A1388">
            <v>0</v>
          </cell>
          <cell r="H1388">
            <v>0</v>
          </cell>
        </row>
        <row r="1389">
          <cell r="A1389">
            <v>0</v>
          </cell>
          <cell r="H1389">
            <v>0</v>
          </cell>
        </row>
        <row r="1390">
          <cell r="A1390">
            <v>0</v>
          </cell>
          <cell r="H1390">
            <v>0</v>
          </cell>
        </row>
        <row r="1391">
          <cell r="A1391">
            <v>0</v>
          </cell>
          <cell r="H1391">
            <v>0</v>
          </cell>
        </row>
        <row r="1392">
          <cell r="A1392">
            <v>0</v>
          </cell>
          <cell r="H1392">
            <v>0</v>
          </cell>
        </row>
        <row r="1393">
          <cell r="A1393">
            <v>0</v>
          </cell>
          <cell r="H1393">
            <v>0</v>
          </cell>
        </row>
        <row r="1394">
          <cell r="A1394">
            <v>0</v>
          </cell>
          <cell r="H1394">
            <v>0</v>
          </cell>
        </row>
        <row r="1395">
          <cell r="A1395">
            <v>0</v>
          </cell>
          <cell r="H1395">
            <v>0</v>
          </cell>
        </row>
        <row r="1396">
          <cell r="A1396">
            <v>0</v>
          </cell>
          <cell r="H1396">
            <v>0</v>
          </cell>
        </row>
        <row r="1397">
          <cell r="A1397">
            <v>0</v>
          </cell>
          <cell r="H1397">
            <v>0</v>
          </cell>
        </row>
        <row r="1398">
          <cell r="A1398">
            <v>0</v>
          </cell>
          <cell r="H1398">
            <v>0</v>
          </cell>
        </row>
        <row r="1399">
          <cell r="A1399">
            <v>0</v>
          </cell>
          <cell r="H1399">
            <v>0</v>
          </cell>
        </row>
        <row r="1400">
          <cell r="A1400">
            <v>0</v>
          </cell>
          <cell r="H1400">
            <v>0</v>
          </cell>
        </row>
        <row r="1401">
          <cell r="A1401">
            <v>0</v>
          </cell>
          <cell r="H1401">
            <v>0</v>
          </cell>
        </row>
        <row r="1402">
          <cell r="A1402">
            <v>0</v>
          </cell>
          <cell r="H1402">
            <v>0</v>
          </cell>
        </row>
        <row r="1403">
          <cell r="A1403">
            <v>0</v>
          </cell>
          <cell r="H1403">
            <v>0</v>
          </cell>
        </row>
        <row r="1404">
          <cell r="A1404">
            <v>0</v>
          </cell>
          <cell r="H1404">
            <v>0</v>
          </cell>
        </row>
        <row r="1405">
          <cell r="A1405">
            <v>0</v>
          </cell>
          <cell r="H1405">
            <v>0</v>
          </cell>
        </row>
        <row r="1406">
          <cell r="A1406">
            <v>0</v>
          </cell>
          <cell r="H1406">
            <v>0</v>
          </cell>
        </row>
        <row r="1407">
          <cell r="A1407">
            <v>0</v>
          </cell>
          <cell r="H1407">
            <v>0</v>
          </cell>
        </row>
        <row r="1408">
          <cell r="A1408">
            <v>0</v>
          </cell>
          <cell r="H1408">
            <v>0</v>
          </cell>
        </row>
        <row r="1409">
          <cell r="A1409">
            <v>0</v>
          </cell>
          <cell r="H1409">
            <v>0</v>
          </cell>
        </row>
        <row r="1410">
          <cell r="A1410">
            <v>0</v>
          </cell>
          <cell r="H1410">
            <v>0</v>
          </cell>
        </row>
        <row r="1411">
          <cell r="A1411">
            <v>0</v>
          </cell>
          <cell r="H1411">
            <v>0</v>
          </cell>
        </row>
        <row r="1412">
          <cell r="A1412">
            <v>0</v>
          </cell>
          <cell r="H1412">
            <v>0</v>
          </cell>
        </row>
        <row r="1413">
          <cell r="A1413">
            <v>0</v>
          </cell>
          <cell r="H1413">
            <v>0</v>
          </cell>
        </row>
        <row r="1414">
          <cell r="A1414">
            <v>0</v>
          </cell>
          <cell r="H1414">
            <v>0</v>
          </cell>
        </row>
        <row r="1415">
          <cell r="A1415">
            <v>0</v>
          </cell>
          <cell r="H1415">
            <v>0</v>
          </cell>
        </row>
        <row r="1416">
          <cell r="A1416">
            <v>0</v>
          </cell>
          <cell r="H1416">
            <v>0</v>
          </cell>
        </row>
        <row r="1417">
          <cell r="A1417">
            <v>0</v>
          </cell>
          <cell r="H1417">
            <v>0</v>
          </cell>
        </row>
        <row r="1418">
          <cell r="A1418">
            <v>0</v>
          </cell>
          <cell r="H1418">
            <v>0</v>
          </cell>
        </row>
        <row r="1419">
          <cell r="A1419">
            <v>0</v>
          </cell>
          <cell r="H1419">
            <v>0</v>
          </cell>
        </row>
        <row r="1420">
          <cell r="A1420">
            <v>0</v>
          </cell>
          <cell r="H1420">
            <v>0</v>
          </cell>
        </row>
        <row r="1421">
          <cell r="A1421">
            <v>0</v>
          </cell>
          <cell r="H1421">
            <v>0</v>
          </cell>
        </row>
        <row r="1422">
          <cell r="A1422">
            <v>0</v>
          </cell>
          <cell r="H1422">
            <v>0</v>
          </cell>
        </row>
        <row r="1423">
          <cell r="A1423">
            <v>0</v>
          </cell>
          <cell r="H1423">
            <v>0</v>
          </cell>
        </row>
        <row r="1424">
          <cell r="A1424">
            <v>0</v>
          </cell>
          <cell r="H1424">
            <v>0</v>
          </cell>
        </row>
        <row r="1425">
          <cell r="A1425">
            <v>0</v>
          </cell>
          <cell r="H1425">
            <v>0</v>
          </cell>
        </row>
        <row r="1426">
          <cell r="A1426">
            <v>0</v>
          </cell>
          <cell r="H1426">
            <v>0</v>
          </cell>
        </row>
        <row r="1427">
          <cell r="A1427">
            <v>0</v>
          </cell>
          <cell r="H1427">
            <v>0</v>
          </cell>
        </row>
        <row r="1428">
          <cell r="A1428">
            <v>0</v>
          </cell>
          <cell r="H1428">
            <v>0</v>
          </cell>
        </row>
        <row r="1429">
          <cell r="A1429">
            <v>0</v>
          </cell>
          <cell r="H1429">
            <v>0</v>
          </cell>
        </row>
        <row r="1430">
          <cell r="A1430">
            <v>0</v>
          </cell>
          <cell r="H1430">
            <v>0</v>
          </cell>
        </row>
        <row r="1431">
          <cell r="A1431">
            <v>0</v>
          </cell>
          <cell r="H1431">
            <v>0</v>
          </cell>
        </row>
        <row r="1432">
          <cell r="A1432">
            <v>0</v>
          </cell>
          <cell r="H1432">
            <v>0</v>
          </cell>
        </row>
        <row r="1433">
          <cell r="A1433">
            <v>0</v>
          </cell>
          <cell r="H1433">
            <v>0</v>
          </cell>
        </row>
        <row r="1434">
          <cell r="A1434">
            <v>0</v>
          </cell>
          <cell r="H1434">
            <v>0</v>
          </cell>
        </row>
        <row r="1435">
          <cell r="A1435">
            <v>0</v>
          </cell>
          <cell r="H1435">
            <v>0</v>
          </cell>
        </row>
        <row r="1436">
          <cell r="A1436">
            <v>0</v>
          </cell>
          <cell r="H1436">
            <v>0</v>
          </cell>
        </row>
        <row r="1437">
          <cell r="A1437">
            <v>0</v>
          </cell>
          <cell r="H1437">
            <v>0</v>
          </cell>
        </row>
        <row r="1438">
          <cell r="A1438">
            <v>0</v>
          </cell>
          <cell r="H1438">
            <v>0</v>
          </cell>
        </row>
        <row r="1439">
          <cell r="A1439">
            <v>0</v>
          </cell>
          <cell r="H1439">
            <v>0</v>
          </cell>
        </row>
        <row r="1440">
          <cell r="A1440">
            <v>0</v>
          </cell>
          <cell r="H1440">
            <v>0</v>
          </cell>
        </row>
        <row r="1441">
          <cell r="A1441">
            <v>0</v>
          </cell>
          <cell r="H1441">
            <v>0</v>
          </cell>
        </row>
        <row r="1442">
          <cell r="A1442">
            <v>0</v>
          </cell>
          <cell r="H1442">
            <v>0</v>
          </cell>
        </row>
        <row r="1443">
          <cell r="A1443">
            <v>0</v>
          </cell>
          <cell r="H1443">
            <v>0</v>
          </cell>
        </row>
        <row r="1444">
          <cell r="A1444">
            <v>0</v>
          </cell>
          <cell r="H1444">
            <v>0</v>
          </cell>
        </row>
        <row r="1445">
          <cell r="A1445">
            <v>0</v>
          </cell>
          <cell r="H1445">
            <v>0</v>
          </cell>
        </row>
        <row r="1446">
          <cell r="A1446">
            <v>0</v>
          </cell>
          <cell r="H1446">
            <v>0</v>
          </cell>
        </row>
        <row r="1447">
          <cell r="A1447">
            <v>0</v>
          </cell>
          <cell r="H1447">
            <v>0</v>
          </cell>
        </row>
        <row r="1448">
          <cell r="A1448">
            <v>0</v>
          </cell>
          <cell r="H1448">
            <v>0</v>
          </cell>
        </row>
        <row r="1449">
          <cell r="A1449">
            <v>0</v>
          </cell>
          <cell r="H1449">
            <v>0</v>
          </cell>
        </row>
        <row r="1450">
          <cell r="A1450">
            <v>0</v>
          </cell>
          <cell r="H1450">
            <v>0</v>
          </cell>
        </row>
        <row r="1451">
          <cell r="A1451">
            <v>0</v>
          </cell>
          <cell r="H1451">
            <v>0</v>
          </cell>
        </row>
        <row r="1452">
          <cell r="A1452">
            <v>0</v>
          </cell>
          <cell r="H1452">
            <v>0</v>
          </cell>
        </row>
        <row r="1453">
          <cell r="A1453">
            <v>0</v>
          </cell>
          <cell r="H1453">
            <v>0</v>
          </cell>
        </row>
        <row r="1454">
          <cell r="A1454">
            <v>0</v>
          </cell>
          <cell r="H1454">
            <v>0</v>
          </cell>
        </row>
        <row r="1455">
          <cell r="A1455">
            <v>0</v>
          </cell>
          <cell r="H1455">
            <v>0</v>
          </cell>
        </row>
        <row r="1456">
          <cell r="A1456">
            <v>0</v>
          </cell>
          <cell r="H1456">
            <v>0</v>
          </cell>
        </row>
        <row r="1457">
          <cell r="A1457">
            <v>0</v>
          </cell>
          <cell r="H1457">
            <v>0</v>
          </cell>
        </row>
        <row r="1458">
          <cell r="A1458">
            <v>0</v>
          </cell>
          <cell r="H1458">
            <v>0</v>
          </cell>
        </row>
        <row r="1459">
          <cell r="A1459">
            <v>0</v>
          </cell>
          <cell r="H1459">
            <v>0</v>
          </cell>
        </row>
        <row r="1460">
          <cell r="A1460">
            <v>0</v>
          </cell>
          <cell r="H1460">
            <v>0</v>
          </cell>
        </row>
        <row r="1461">
          <cell r="A1461">
            <v>0</v>
          </cell>
          <cell r="H1461">
            <v>0</v>
          </cell>
        </row>
        <row r="1462">
          <cell r="A1462">
            <v>0</v>
          </cell>
          <cell r="H1462">
            <v>0</v>
          </cell>
        </row>
        <row r="1463">
          <cell r="A1463">
            <v>0</v>
          </cell>
          <cell r="H1463">
            <v>0</v>
          </cell>
        </row>
        <row r="1464">
          <cell r="A1464">
            <v>0</v>
          </cell>
          <cell r="H1464">
            <v>0</v>
          </cell>
        </row>
        <row r="1465">
          <cell r="A1465">
            <v>0</v>
          </cell>
          <cell r="H1465">
            <v>0</v>
          </cell>
        </row>
        <row r="1466">
          <cell r="A1466">
            <v>0</v>
          </cell>
          <cell r="H1466">
            <v>0</v>
          </cell>
        </row>
        <row r="1467">
          <cell r="A1467">
            <v>0</v>
          </cell>
          <cell r="H1467">
            <v>0</v>
          </cell>
        </row>
        <row r="1468">
          <cell r="A1468">
            <v>0</v>
          </cell>
          <cell r="H1468">
            <v>0</v>
          </cell>
        </row>
        <row r="1469">
          <cell r="A1469">
            <v>0</v>
          </cell>
          <cell r="H1469">
            <v>0</v>
          </cell>
        </row>
        <row r="1470">
          <cell r="A1470">
            <v>0</v>
          </cell>
          <cell r="H1470">
            <v>0</v>
          </cell>
        </row>
        <row r="1471">
          <cell r="A1471">
            <v>0</v>
          </cell>
          <cell r="H1471">
            <v>0</v>
          </cell>
        </row>
        <row r="1472">
          <cell r="A1472">
            <v>0</v>
          </cell>
          <cell r="H1472">
            <v>0</v>
          </cell>
        </row>
        <row r="1473">
          <cell r="A1473">
            <v>0</v>
          </cell>
          <cell r="H1473">
            <v>0</v>
          </cell>
        </row>
        <row r="1474">
          <cell r="A1474">
            <v>0</v>
          </cell>
          <cell r="H1474">
            <v>0</v>
          </cell>
        </row>
        <row r="1475">
          <cell r="A1475">
            <v>0</v>
          </cell>
          <cell r="H1475">
            <v>0</v>
          </cell>
        </row>
        <row r="1476">
          <cell r="A1476">
            <v>0</v>
          </cell>
          <cell r="H1476">
            <v>0</v>
          </cell>
        </row>
        <row r="1477">
          <cell r="A1477">
            <v>0</v>
          </cell>
          <cell r="H1477">
            <v>0</v>
          </cell>
        </row>
        <row r="1478">
          <cell r="A1478">
            <v>0</v>
          </cell>
          <cell r="H1478">
            <v>0</v>
          </cell>
        </row>
        <row r="1479">
          <cell r="A1479">
            <v>0</v>
          </cell>
          <cell r="H1479">
            <v>0</v>
          </cell>
        </row>
        <row r="1480">
          <cell r="A1480">
            <v>0</v>
          </cell>
          <cell r="H1480">
            <v>0</v>
          </cell>
        </row>
        <row r="1481">
          <cell r="A1481">
            <v>0</v>
          </cell>
          <cell r="H1481">
            <v>0</v>
          </cell>
        </row>
        <row r="1482">
          <cell r="A1482">
            <v>0</v>
          </cell>
          <cell r="H1482">
            <v>0</v>
          </cell>
        </row>
        <row r="1483">
          <cell r="A1483">
            <v>0</v>
          </cell>
          <cell r="H1483">
            <v>0</v>
          </cell>
        </row>
        <row r="1484">
          <cell r="A1484">
            <v>0</v>
          </cell>
          <cell r="H1484">
            <v>0</v>
          </cell>
        </row>
        <row r="1485">
          <cell r="A1485">
            <v>0</v>
          </cell>
          <cell r="H1485">
            <v>0</v>
          </cell>
        </row>
        <row r="1486">
          <cell r="A1486">
            <v>0</v>
          </cell>
          <cell r="H1486">
            <v>0</v>
          </cell>
        </row>
        <row r="1487">
          <cell r="A1487">
            <v>0</v>
          </cell>
          <cell r="H1487">
            <v>0</v>
          </cell>
        </row>
        <row r="1488">
          <cell r="A1488">
            <v>0</v>
          </cell>
          <cell r="H1488">
            <v>0</v>
          </cell>
        </row>
        <row r="1489">
          <cell r="A1489">
            <v>0</v>
          </cell>
          <cell r="H1489">
            <v>0</v>
          </cell>
        </row>
        <row r="1490">
          <cell r="A1490">
            <v>0</v>
          </cell>
          <cell r="H1490">
            <v>0</v>
          </cell>
        </row>
        <row r="1491">
          <cell r="A1491">
            <v>0</v>
          </cell>
          <cell r="H1491">
            <v>0</v>
          </cell>
        </row>
        <row r="1492">
          <cell r="A1492">
            <v>0</v>
          </cell>
          <cell r="H1492">
            <v>0</v>
          </cell>
        </row>
        <row r="1493">
          <cell r="A1493">
            <v>0</v>
          </cell>
          <cell r="H1493">
            <v>0</v>
          </cell>
        </row>
        <row r="1494">
          <cell r="A1494">
            <v>0</v>
          </cell>
          <cell r="H1494">
            <v>0</v>
          </cell>
        </row>
        <row r="1495">
          <cell r="A1495">
            <v>0</v>
          </cell>
          <cell r="H1495">
            <v>0</v>
          </cell>
        </row>
        <row r="1496">
          <cell r="A1496">
            <v>0</v>
          </cell>
          <cell r="H1496">
            <v>0</v>
          </cell>
        </row>
        <row r="1497">
          <cell r="A1497">
            <v>0</v>
          </cell>
          <cell r="H1497">
            <v>0</v>
          </cell>
        </row>
        <row r="1498">
          <cell r="A1498">
            <v>0</v>
          </cell>
          <cell r="H1498">
            <v>0</v>
          </cell>
        </row>
        <row r="1499">
          <cell r="A1499">
            <v>0</v>
          </cell>
          <cell r="H1499">
            <v>0</v>
          </cell>
        </row>
        <row r="1500">
          <cell r="A1500">
            <v>0</v>
          </cell>
          <cell r="H1500">
            <v>0</v>
          </cell>
        </row>
        <row r="1501">
          <cell r="A1501">
            <v>0</v>
          </cell>
          <cell r="H1501">
            <v>0</v>
          </cell>
        </row>
        <row r="1502">
          <cell r="A1502">
            <v>0</v>
          </cell>
          <cell r="H1502">
            <v>0</v>
          </cell>
        </row>
        <row r="1503">
          <cell r="A1503">
            <v>0</v>
          </cell>
          <cell r="H1503">
            <v>0</v>
          </cell>
        </row>
        <row r="1504">
          <cell r="A1504">
            <v>0</v>
          </cell>
          <cell r="H1504">
            <v>0</v>
          </cell>
        </row>
        <row r="1505">
          <cell r="A1505">
            <v>0</v>
          </cell>
          <cell r="H1505">
            <v>0</v>
          </cell>
        </row>
        <row r="1506">
          <cell r="A1506">
            <v>0</v>
          </cell>
          <cell r="H1506">
            <v>0</v>
          </cell>
        </row>
        <row r="1507">
          <cell r="A1507">
            <v>0</v>
          </cell>
          <cell r="H1507">
            <v>0</v>
          </cell>
        </row>
        <row r="1508">
          <cell r="A1508">
            <v>0</v>
          </cell>
          <cell r="H1508">
            <v>0</v>
          </cell>
        </row>
        <row r="1509">
          <cell r="A1509">
            <v>0</v>
          </cell>
          <cell r="H1509">
            <v>0</v>
          </cell>
        </row>
        <row r="1510">
          <cell r="A1510">
            <v>0</v>
          </cell>
          <cell r="H1510">
            <v>0</v>
          </cell>
        </row>
        <row r="1511">
          <cell r="A1511">
            <v>0</v>
          </cell>
          <cell r="H1511">
            <v>0</v>
          </cell>
        </row>
        <row r="1512">
          <cell r="A1512">
            <v>0</v>
          </cell>
          <cell r="H1512">
            <v>0</v>
          </cell>
        </row>
        <row r="1513">
          <cell r="A1513">
            <v>0</v>
          </cell>
          <cell r="H1513">
            <v>0</v>
          </cell>
        </row>
        <row r="1514">
          <cell r="A1514">
            <v>0</v>
          </cell>
          <cell r="H1514">
            <v>0</v>
          </cell>
        </row>
        <row r="1515">
          <cell r="A1515">
            <v>0</v>
          </cell>
          <cell r="H1515">
            <v>0</v>
          </cell>
        </row>
        <row r="1516">
          <cell r="A1516">
            <v>0</v>
          </cell>
          <cell r="H1516">
            <v>0</v>
          </cell>
        </row>
        <row r="1517">
          <cell r="A1517">
            <v>0</v>
          </cell>
          <cell r="H1517">
            <v>0</v>
          </cell>
        </row>
        <row r="1518">
          <cell r="A1518">
            <v>0</v>
          </cell>
          <cell r="H1518">
            <v>0</v>
          </cell>
        </row>
        <row r="1519">
          <cell r="A1519">
            <v>0</v>
          </cell>
          <cell r="H1519">
            <v>0</v>
          </cell>
        </row>
        <row r="1520">
          <cell r="A1520">
            <v>0</v>
          </cell>
          <cell r="H1520">
            <v>0</v>
          </cell>
        </row>
        <row r="1521">
          <cell r="A1521">
            <v>0</v>
          </cell>
          <cell r="H1521">
            <v>0</v>
          </cell>
        </row>
        <row r="1522">
          <cell r="A1522">
            <v>0</v>
          </cell>
          <cell r="H1522">
            <v>0</v>
          </cell>
        </row>
        <row r="1523">
          <cell r="A1523">
            <v>0</v>
          </cell>
          <cell r="H1523">
            <v>0</v>
          </cell>
        </row>
        <row r="1524">
          <cell r="A1524">
            <v>0</v>
          </cell>
          <cell r="H1524">
            <v>0</v>
          </cell>
        </row>
        <row r="1525">
          <cell r="A1525">
            <v>0</v>
          </cell>
          <cell r="H1525">
            <v>0</v>
          </cell>
        </row>
        <row r="1526">
          <cell r="A1526">
            <v>0</v>
          </cell>
          <cell r="H1526">
            <v>0</v>
          </cell>
        </row>
        <row r="1527">
          <cell r="A1527">
            <v>0</v>
          </cell>
          <cell r="H1527">
            <v>0</v>
          </cell>
        </row>
        <row r="1528">
          <cell r="A1528">
            <v>0</v>
          </cell>
          <cell r="H1528">
            <v>0</v>
          </cell>
        </row>
        <row r="1529">
          <cell r="A1529">
            <v>0</v>
          </cell>
          <cell r="H1529">
            <v>0</v>
          </cell>
        </row>
        <row r="1530">
          <cell r="A1530">
            <v>0</v>
          </cell>
          <cell r="H1530">
            <v>0</v>
          </cell>
        </row>
        <row r="1531">
          <cell r="A1531">
            <v>0</v>
          </cell>
          <cell r="H1531">
            <v>0</v>
          </cell>
        </row>
        <row r="1532">
          <cell r="A1532">
            <v>0</v>
          </cell>
          <cell r="H1532">
            <v>0</v>
          </cell>
        </row>
        <row r="1533">
          <cell r="A1533">
            <v>0</v>
          </cell>
          <cell r="H1533">
            <v>0</v>
          </cell>
        </row>
        <row r="1534">
          <cell r="A1534">
            <v>0</v>
          </cell>
          <cell r="H1534">
            <v>0</v>
          </cell>
        </row>
        <row r="1535">
          <cell r="A1535">
            <v>0</v>
          </cell>
          <cell r="H1535">
            <v>0</v>
          </cell>
        </row>
        <row r="1536">
          <cell r="A1536">
            <v>0</v>
          </cell>
          <cell r="H1536">
            <v>0</v>
          </cell>
        </row>
        <row r="1537">
          <cell r="A1537">
            <v>0</v>
          </cell>
          <cell r="H1537">
            <v>0</v>
          </cell>
        </row>
        <row r="1538">
          <cell r="A1538">
            <v>0</v>
          </cell>
          <cell r="H1538">
            <v>0</v>
          </cell>
        </row>
        <row r="1539">
          <cell r="A1539">
            <v>0</v>
          </cell>
          <cell r="H1539">
            <v>0</v>
          </cell>
        </row>
        <row r="1540">
          <cell r="A1540">
            <v>0</v>
          </cell>
          <cell r="H1540">
            <v>0</v>
          </cell>
        </row>
        <row r="1541">
          <cell r="A1541">
            <v>0</v>
          </cell>
          <cell r="H1541">
            <v>0</v>
          </cell>
        </row>
        <row r="1542">
          <cell r="A1542">
            <v>0</v>
          </cell>
          <cell r="H1542">
            <v>0</v>
          </cell>
        </row>
        <row r="1543">
          <cell r="A1543">
            <v>0</v>
          </cell>
          <cell r="H1543">
            <v>0</v>
          </cell>
        </row>
        <row r="1544">
          <cell r="A1544">
            <v>0</v>
          </cell>
          <cell r="H1544">
            <v>0</v>
          </cell>
        </row>
        <row r="1545">
          <cell r="A1545">
            <v>0</v>
          </cell>
          <cell r="H1545">
            <v>0</v>
          </cell>
        </row>
        <row r="1546">
          <cell r="A1546">
            <v>0</v>
          </cell>
          <cell r="H1546">
            <v>0</v>
          </cell>
        </row>
        <row r="1547">
          <cell r="A1547">
            <v>0</v>
          </cell>
          <cell r="H1547">
            <v>0</v>
          </cell>
        </row>
        <row r="1548">
          <cell r="A1548">
            <v>0</v>
          </cell>
          <cell r="H1548">
            <v>0</v>
          </cell>
        </row>
        <row r="1549">
          <cell r="A1549">
            <v>0</v>
          </cell>
          <cell r="H1549">
            <v>0</v>
          </cell>
        </row>
        <row r="1550">
          <cell r="A1550">
            <v>0</v>
          </cell>
          <cell r="H1550">
            <v>0</v>
          </cell>
        </row>
        <row r="1551">
          <cell r="A1551">
            <v>0</v>
          </cell>
          <cell r="H1551">
            <v>0</v>
          </cell>
        </row>
        <row r="1552">
          <cell r="A1552">
            <v>0</v>
          </cell>
          <cell r="H1552">
            <v>0</v>
          </cell>
        </row>
        <row r="1553">
          <cell r="A1553">
            <v>0</v>
          </cell>
          <cell r="H1553">
            <v>0</v>
          </cell>
        </row>
        <row r="1554">
          <cell r="A1554">
            <v>0</v>
          </cell>
          <cell r="H1554">
            <v>0</v>
          </cell>
        </row>
        <row r="1555">
          <cell r="A1555">
            <v>0</v>
          </cell>
          <cell r="H1555">
            <v>0</v>
          </cell>
        </row>
        <row r="1556">
          <cell r="A1556">
            <v>0</v>
          </cell>
          <cell r="H1556">
            <v>0</v>
          </cell>
        </row>
        <row r="1557">
          <cell r="A1557">
            <v>0</v>
          </cell>
          <cell r="H1557">
            <v>0</v>
          </cell>
        </row>
        <row r="1558">
          <cell r="A1558">
            <v>0</v>
          </cell>
          <cell r="H1558">
            <v>0</v>
          </cell>
        </row>
        <row r="1559">
          <cell r="A1559">
            <v>0</v>
          </cell>
          <cell r="H1559">
            <v>0</v>
          </cell>
        </row>
        <row r="1560">
          <cell r="A1560">
            <v>0</v>
          </cell>
          <cell r="H1560">
            <v>0</v>
          </cell>
        </row>
        <row r="1561">
          <cell r="A1561">
            <v>0</v>
          </cell>
          <cell r="H1561">
            <v>0</v>
          </cell>
        </row>
        <row r="1562">
          <cell r="A1562">
            <v>0</v>
          </cell>
          <cell r="H1562">
            <v>0</v>
          </cell>
        </row>
        <row r="1563">
          <cell r="A1563">
            <v>0</v>
          </cell>
          <cell r="H1563">
            <v>0</v>
          </cell>
        </row>
        <row r="1564">
          <cell r="A1564">
            <v>0</v>
          </cell>
          <cell r="H1564">
            <v>0</v>
          </cell>
        </row>
        <row r="1565">
          <cell r="A1565">
            <v>0</v>
          </cell>
          <cell r="H1565">
            <v>0</v>
          </cell>
        </row>
        <row r="1566">
          <cell r="A1566">
            <v>0</v>
          </cell>
          <cell r="H1566">
            <v>0</v>
          </cell>
        </row>
        <row r="1567">
          <cell r="A1567">
            <v>0</v>
          </cell>
          <cell r="H1567">
            <v>0</v>
          </cell>
        </row>
        <row r="1568">
          <cell r="A1568">
            <v>0</v>
          </cell>
          <cell r="H1568">
            <v>0</v>
          </cell>
        </row>
        <row r="1569">
          <cell r="A1569">
            <v>0</v>
          </cell>
          <cell r="H1569">
            <v>0</v>
          </cell>
        </row>
        <row r="1570">
          <cell r="A1570">
            <v>0</v>
          </cell>
          <cell r="H1570">
            <v>0</v>
          </cell>
        </row>
        <row r="1571">
          <cell r="A1571">
            <v>0</v>
          </cell>
          <cell r="H1571">
            <v>0</v>
          </cell>
        </row>
        <row r="1572">
          <cell r="A1572">
            <v>0</v>
          </cell>
          <cell r="H1572">
            <v>0</v>
          </cell>
        </row>
        <row r="1573">
          <cell r="A1573">
            <v>0</v>
          </cell>
          <cell r="H1573">
            <v>0</v>
          </cell>
        </row>
        <row r="1574">
          <cell r="A1574">
            <v>0</v>
          </cell>
          <cell r="H1574">
            <v>0</v>
          </cell>
        </row>
        <row r="1575">
          <cell r="A1575">
            <v>0</v>
          </cell>
          <cell r="H1575">
            <v>0</v>
          </cell>
        </row>
        <row r="1576">
          <cell r="A1576">
            <v>0</v>
          </cell>
          <cell r="H1576">
            <v>0</v>
          </cell>
        </row>
        <row r="1577">
          <cell r="A1577">
            <v>0</v>
          </cell>
          <cell r="H1577">
            <v>0</v>
          </cell>
        </row>
        <row r="1578">
          <cell r="A1578">
            <v>0</v>
          </cell>
          <cell r="H1578">
            <v>0</v>
          </cell>
        </row>
        <row r="1579">
          <cell r="A1579">
            <v>0</v>
          </cell>
          <cell r="H1579">
            <v>0</v>
          </cell>
        </row>
        <row r="1580">
          <cell r="A1580">
            <v>0</v>
          </cell>
          <cell r="H1580">
            <v>0</v>
          </cell>
        </row>
        <row r="1581">
          <cell r="A1581">
            <v>0</v>
          </cell>
          <cell r="H1581">
            <v>0</v>
          </cell>
        </row>
        <row r="1582">
          <cell r="A1582">
            <v>0</v>
          </cell>
          <cell r="H1582">
            <v>0</v>
          </cell>
        </row>
        <row r="1583">
          <cell r="A1583">
            <v>0</v>
          </cell>
          <cell r="H1583">
            <v>0</v>
          </cell>
        </row>
        <row r="1584">
          <cell r="A1584">
            <v>0</v>
          </cell>
          <cell r="H1584">
            <v>0</v>
          </cell>
        </row>
        <row r="1585">
          <cell r="A1585">
            <v>0</v>
          </cell>
          <cell r="H1585">
            <v>0</v>
          </cell>
        </row>
        <row r="1586">
          <cell r="A1586">
            <v>0</v>
          </cell>
          <cell r="H1586">
            <v>0</v>
          </cell>
        </row>
        <row r="1587">
          <cell r="A1587">
            <v>0</v>
          </cell>
          <cell r="H1587">
            <v>0</v>
          </cell>
        </row>
        <row r="1588">
          <cell r="A1588">
            <v>0</v>
          </cell>
          <cell r="H1588">
            <v>0</v>
          </cell>
        </row>
        <row r="1589">
          <cell r="A1589">
            <v>0</v>
          </cell>
          <cell r="H1589">
            <v>0</v>
          </cell>
        </row>
        <row r="1590">
          <cell r="A1590">
            <v>0</v>
          </cell>
          <cell r="H1590">
            <v>0</v>
          </cell>
        </row>
        <row r="1591">
          <cell r="A1591">
            <v>0</v>
          </cell>
          <cell r="H1591">
            <v>0</v>
          </cell>
        </row>
        <row r="1592">
          <cell r="A1592">
            <v>0</v>
          </cell>
          <cell r="H1592">
            <v>0</v>
          </cell>
        </row>
        <row r="1593">
          <cell r="A1593">
            <v>0</v>
          </cell>
          <cell r="H1593">
            <v>0</v>
          </cell>
        </row>
        <row r="1594">
          <cell r="A1594">
            <v>0</v>
          </cell>
          <cell r="H1594">
            <v>0</v>
          </cell>
        </row>
        <row r="1595">
          <cell r="A1595">
            <v>0</v>
          </cell>
          <cell r="H1595">
            <v>0</v>
          </cell>
        </row>
        <row r="1596">
          <cell r="A1596">
            <v>0</v>
          </cell>
          <cell r="H1596">
            <v>0</v>
          </cell>
        </row>
        <row r="1597">
          <cell r="A1597">
            <v>0</v>
          </cell>
          <cell r="H1597">
            <v>0</v>
          </cell>
        </row>
        <row r="1598">
          <cell r="A1598">
            <v>0</v>
          </cell>
          <cell r="H1598">
            <v>0</v>
          </cell>
        </row>
        <row r="1599">
          <cell r="A1599">
            <v>0</v>
          </cell>
          <cell r="H1599">
            <v>0</v>
          </cell>
        </row>
        <row r="1600">
          <cell r="A1600">
            <v>0</v>
          </cell>
          <cell r="H1600">
            <v>0</v>
          </cell>
        </row>
        <row r="1601">
          <cell r="A1601">
            <v>0</v>
          </cell>
          <cell r="H1601">
            <v>0</v>
          </cell>
        </row>
        <row r="1602">
          <cell r="A1602">
            <v>0</v>
          </cell>
          <cell r="H1602">
            <v>0</v>
          </cell>
        </row>
        <row r="1603">
          <cell r="A1603">
            <v>0</v>
          </cell>
          <cell r="H1603">
            <v>0</v>
          </cell>
        </row>
        <row r="1604">
          <cell r="A1604">
            <v>0</v>
          </cell>
          <cell r="H1604">
            <v>0</v>
          </cell>
        </row>
        <row r="1605">
          <cell r="A1605">
            <v>0</v>
          </cell>
          <cell r="H1605">
            <v>0</v>
          </cell>
        </row>
        <row r="1606">
          <cell r="A1606">
            <v>0</v>
          </cell>
          <cell r="H1606">
            <v>0</v>
          </cell>
        </row>
        <row r="1607">
          <cell r="A1607">
            <v>0</v>
          </cell>
          <cell r="H1607">
            <v>0</v>
          </cell>
        </row>
        <row r="1608">
          <cell r="A1608">
            <v>0</v>
          </cell>
          <cell r="H1608">
            <v>0</v>
          </cell>
        </row>
        <row r="1609">
          <cell r="A1609">
            <v>0</v>
          </cell>
          <cell r="H1609">
            <v>0</v>
          </cell>
        </row>
        <row r="1610">
          <cell r="A1610">
            <v>0</v>
          </cell>
          <cell r="H1610">
            <v>0</v>
          </cell>
        </row>
        <row r="1611">
          <cell r="A1611">
            <v>0</v>
          </cell>
          <cell r="H1611">
            <v>0</v>
          </cell>
        </row>
        <row r="1612">
          <cell r="A1612">
            <v>0</v>
          </cell>
          <cell r="H1612">
            <v>0</v>
          </cell>
        </row>
        <row r="1613">
          <cell r="A1613">
            <v>0</v>
          </cell>
          <cell r="H1613">
            <v>0</v>
          </cell>
        </row>
        <row r="1614">
          <cell r="A1614">
            <v>0</v>
          </cell>
          <cell r="H1614">
            <v>0</v>
          </cell>
        </row>
        <row r="1615">
          <cell r="A1615">
            <v>0</v>
          </cell>
          <cell r="H1615">
            <v>0</v>
          </cell>
        </row>
        <row r="1616">
          <cell r="A1616">
            <v>0</v>
          </cell>
          <cell r="H1616">
            <v>0</v>
          </cell>
        </row>
        <row r="1617">
          <cell r="A1617">
            <v>0</v>
          </cell>
          <cell r="H1617">
            <v>0</v>
          </cell>
        </row>
        <row r="1618">
          <cell r="A1618">
            <v>0</v>
          </cell>
          <cell r="H1618">
            <v>0</v>
          </cell>
        </row>
        <row r="1619">
          <cell r="A1619">
            <v>0</v>
          </cell>
          <cell r="H1619">
            <v>0</v>
          </cell>
        </row>
        <row r="1620">
          <cell r="A1620">
            <v>0</v>
          </cell>
          <cell r="H1620">
            <v>0</v>
          </cell>
        </row>
        <row r="1621">
          <cell r="A1621">
            <v>0</v>
          </cell>
          <cell r="H1621">
            <v>0</v>
          </cell>
        </row>
        <row r="1622">
          <cell r="A1622">
            <v>0</v>
          </cell>
          <cell r="H1622">
            <v>0</v>
          </cell>
        </row>
        <row r="1623">
          <cell r="A1623">
            <v>0</v>
          </cell>
          <cell r="H1623">
            <v>0</v>
          </cell>
        </row>
        <row r="1624">
          <cell r="A1624">
            <v>0</v>
          </cell>
          <cell r="H1624">
            <v>0</v>
          </cell>
        </row>
        <row r="1625">
          <cell r="A1625">
            <v>0</v>
          </cell>
          <cell r="H1625">
            <v>0</v>
          </cell>
        </row>
        <row r="1626">
          <cell r="A1626">
            <v>0</v>
          </cell>
          <cell r="H1626">
            <v>0</v>
          </cell>
        </row>
        <row r="1627">
          <cell r="A1627">
            <v>0</v>
          </cell>
          <cell r="H1627">
            <v>0</v>
          </cell>
        </row>
        <row r="1628">
          <cell r="A1628">
            <v>0</v>
          </cell>
          <cell r="H1628">
            <v>0</v>
          </cell>
        </row>
        <row r="1629">
          <cell r="A1629">
            <v>0</v>
          </cell>
          <cell r="H1629">
            <v>0</v>
          </cell>
        </row>
        <row r="1630">
          <cell r="A1630">
            <v>0</v>
          </cell>
          <cell r="H1630">
            <v>0</v>
          </cell>
        </row>
        <row r="1631">
          <cell r="A1631">
            <v>0</v>
          </cell>
          <cell r="H1631">
            <v>0</v>
          </cell>
        </row>
        <row r="1632">
          <cell r="A1632">
            <v>0</v>
          </cell>
          <cell r="H1632">
            <v>0</v>
          </cell>
        </row>
        <row r="1633">
          <cell r="A1633">
            <v>0</v>
          </cell>
          <cell r="H1633">
            <v>0</v>
          </cell>
        </row>
        <row r="1634">
          <cell r="A1634">
            <v>0</v>
          </cell>
          <cell r="H1634">
            <v>0</v>
          </cell>
        </row>
        <row r="1635">
          <cell r="A1635">
            <v>0</v>
          </cell>
          <cell r="H1635">
            <v>0</v>
          </cell>
        </row>
        <row r="1636">
          <cell r="A1636">
            <v>0</v>
          </cell>
          <cell r="H1636">
            <v>0</v>
          </cell>
        </row>
        <row r="1637">
          <cell r="A1637">
            <v>0</v>
          </cell>
          <cell r="H1637">
            <v>0</v>
          </cell>
        </row>
        <row r="1638">
          <cell r="A1638">
            <v>0</v>
          </cell>
          <cell r="H1638">
            <v>0</v>
          </cell>
        </row>
        <row r="1639">
          <cell r="A1639">
            <v>0</v>
          </cell>
          <cell r="H1639">
            <v>0</v>
          </cell>
        </row>
        <row r="1640">
          <cell r="A1640">
            <v>0</v>
          </cell>
          <cell r="H1640">
            <v>0</v>
          </cell>
        </row>
        <row r="1641">
          <cell r="A1641">
            <v>0</v>
          </cell>
          <cell r="H164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FS"/>
      <sheetName val="FORMAT 4"/>
      <sheetName val="FORMAT 3"/>
      <sheetName val="AJP"/>
      <sheetName val="WS"/>
      <sheetName val="DPS_DPT"/>
      <sheetName val="EXPENSE"/>
      <sheetName val="FORMAT 1"/>
      <sheetName val="BUDGET"/>
      <sheetName val="TB"/>
      <sheetName val="FORMAT 2"/>
      <sheetName val="Sheet1"/>
      <sheetName val="CASHFLOW"/>
      <sheetName val="RBC_rinci"/>
      <sheetName val="FORMAT_4"/>
      <sheetName val="FORMAT_3"/>
      <sheetName val="FORMAT_1"/>
      <sheetName val="FORMAT_2"/>
    </sheetNames>
    <sheetDataSet>
      <sheetData sheetId="0"/>
      <sheetData sheetId="1"/>
      <sheetData sheetId="2"/>
      <sheetData sheetId="3" refreshError="1">
        <row r="2">
          <cell r="AG2">
            <v>39082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raca"/>
      <sheetName val="laba rugi"/>
      <sheetName val="arus kas"/>
      <sheetName val="list_merge"/>
      <sheetName val="perincian"/>
      <sheetName val="laba_rugi"/>
      <sheetName val="arus_kas"/>
      <sheetName val="laba_rugi1"/>
      <sheetName val="arus_kas1"/>
      <sheetName val="MacPro"/>
      <sheetName val="laba_rugi2"/>
      <sheetName val="arus_kas2"/>
      <sheetName val="laba_rugi3"/>
      <sheetName val="arus_kas3"/>
    </sheetNames>
    <sheetDataSet>
      <sheetData sheetId="0" refreshError="1">
        <row r="1">
          <cell r="A1" t="str">
            <v>Nama Sub Bagian</v>
          </cell>
          <cell r="B1" t="str">
            <v>Periode</v>
          </cell>
          <cell r="C1" t="str">
            <v>Asuransi jiwa jangka pendek (perorangan)</v>
          </cell>
          <cell r="D1" t="str">
            <v>Asuransi jiwa jangka pendek (kumpulan)</v>
          </cell>
          <cell r="E1" t="str">
            <v>Jumlah</v>
          </cell>
          <cell r="F1" t="str">
            <v>Premi new business</v>
          </cell>
          <cell r="G1" t="str">
            <v>Premi old business</v>
          </cell>
          <cell r="H1" t="str">
            <v>Jumlah</v>
          </cell>
          <cell r="I1" t="str">
            <v>Beban premi reasuransi</v>
          </cell>
          <cell r="J1" t="str">
            <v>Bagi hasil deposito</v>
          </cell>
          <cell r="K1" t="str">
            <v>Selisih kurs</v>
          </cell>
          <cell r="L1" t="str">
            <v>Hipotik</v>
          </cell>
          <cell r="M1" t="str">
            <v>Pendapatan Saham</v>
          </cell>
          <cell r="N1" t="str">
            <v>Pembiayaan kendaraan bermotor</v>
          </cell>
          <cell r="O1" t="str">
            <v>PT. Saputra</v>
          </cell>
          <cell r="P1" t="str">
            <v>PT. Dola</v>
          </cell>
          <cell r="Q1" t="str">
            <v>PT. Soniro</v>
          </cell>
          <cell r="R1" t="str">
            <v>PT. MGU</v>
          </cell>
          <cell r="S1" t="str">
            <v>PT. Putera Montaz</v>
          </cell>
          <cell r="T1" t="str">
            <v>Phonka Citra Internasional</v>
          </cell>
          <cell r="U1" t="str">
            <v>Global Hilal Indonesia</v>
          </cell>
          <cell r="V1" t="str">
            <v>PT. Bebete</v>
          </cell>
          <cell r="W1" t="str">
            <v>Surat berharga saham</v>
          </cell>
          <cell r="X1" t="str">
            <v>Penyewaan Ruangan</v>
          </cell>
          <cell r="Y1" t="str">
            <v>Jumlah</v>
          </cell>
          <cell r="Z1" t="str">
            <v>Pendapatan Lain-lain</v>
          </cell>
          <cell r="AA1" t="str">
            <v>Beban klaim</v>
          </cell>
          <cell r="AB1" t="str">
            <v>Klaim reasuransi</v>
          </cell>
          <cell r="AC1" t="str">
            <v>Beban kenaikan cadangan premi</v>
          </cell>
          <cell r="AD1" t="str">
            <v>Jumlah</v>
          </cell>
          <cell r="AE1" t="str">
            <v>Klaim meninggal</v>
          </cell>
          <cell r="AF1" t="str">
            <v>Klaim jatuh tempo</v>
          </cell>
          <cell r="AG1" t="str">
            <v>Klaim nilai tunai</v>
          </cell>
          <cell r="AH1" t="str">
            <v>Klaim kesehatan/kecelakaan</v>
          </cell>
          <cell r="AI1" t="str">
            <v>Jumlah</v>
          </cell>
          <cell r="AJ1" t="str">
            <v>Gaji, komisi dan bonus</v>
          </cell>
          <cell r="AK1" t="str">
            <v>Promosi</v>
          </cell>
          <cell r="AL1" t="str">
            <v>Diklat</v>
          </cell>
          <cell r="AM1" t="str">
            <v>Pemeriksaan kesehatan peserta</v>
          </cell>
          <cell r="AN1" t="str">
            <v>Perjalanan dinas</v>
          </cell>
          <cell r="AO1" t="str">
            <v>Entertainment &amp; lain-lain</v>
          </cell>
          <cell r="AP1" t="str">
            <v>Jumlah</v>
          </cell>
          <cell r="AQ1" t="str">
            <v>Gaji</v>
          </cell>
          <cell r="AR1" t="str">
            <v>Gaji kolektor</v>
          </cell>
          <cell r="AS1" t="str">
            <v>Tunjangan pegawai dinas dalam</v>
          </cell>
          <cell r="AT1" t="str">
            <v>Rekruitmen dan seleksi pegawai</v>
          </cell>
          <cell r="AU1" t="str">
            <v>Perjalanan dinas</v>
          </cell>
          <cell r="AV1" t="str">
            <v>Biaya pegawai lainnya</v>
          </cell>
          <cell r="AW1" t="str">
            <v>Jumlah</v>
          </cell>
          <cell r="AX1" t="str">
            <v>Pendidikan interen</v>
          </cell>
          <cell r="AY1" t="str">
            <v>Seminar</v>
          </cell>
          <cell r="AZ1" t="str">
            <v>Rapat Kerja</v>
          </cell>
          <cell r="BA1" t="str">
            <v>Pengembangan lainnya</v>
          </cell>
          <cell r="BB1" t="str">
            <v>Jumlah</v>
          </cell>
          <cell r="BC1" t="str">
            <v>Konsultan</v>
          </cell>
          <cell r="BD1" t="str">
            <v>Biaya Syarikat Takaful Indonesia</v>
          </cell>
          <cell r="BE1" t="str">
            <v>Kebersihan dan keamanan</v>
          </cell>
          <cell r="BF1" t="str">
            <v>Sewa kantor</v>
          </cell>
          <cell r="BG1" t="str">
            <v>Pemeliharaan kantor</v>
          </cell>
          <cell r="BH1" t="str">
            <v>Listrik dan air</v>
          </cell>
          <cell r="BI1" t="str">
            <v>Alat tulis kantor</v>
          </cell>
          <cell r="BJ1" t="str">
            <v>Barang Cetakan</v>
          </cell>
          <cell r="BK1" t="str">
            <v>Meterai</v>
          </cell>
          <cell r="BL1" t="str">
            <v>Photocopy</v>
          </cell>
          <cell r="BM1" t="str">
            <v>Kantin</v>
          </cell>
          <cell r="BN1" t="str">
            <v>Majalah dan koran</v>
          </cell>
          <cell r="BO1" t="str">
            <v>Telepon dan fax</v>
          </cell>
          <cell r="BP1" t="str">
            <v>Pengiriman dan postel</v>
          </cell>
          <cell r="BQ1" t="str">
            <v>Pemeliharaan kendaraan</v>
          </cell>
          <cell r="BR1" t="str">
            <v>Transportasi</v>
          </cell>
          <cell r="BS1" t="str">
            <v>Pemeliharaan komputer</v>
          </cell>
          <cell r="BT1" t="str">
            <v>Administrasi Bank</v>
          </cell>
          <cell r="BU1" t="str">
            <v>Penyusutan dan amortisasi</v>
          </cell>
          <cell r="BV1" t="str">
            <v>Lain-lain</v>
          </cell>
          <cell r="BW1" t="str">
            <v>Jumlah</v>
          </cell>
          <cell r="BX1" t="str">
            <v>Laba (Rugi) Sebelum Pajak</v>
          </cell>
          <cell r="BY1" t="str">
            <v>Laba (Rugi) Setelah Pajak</v>
          </cell>
          <cell r="BZ1" t="str">
            <v>Saldo Laba Awal Periode</v>
          </cell>
          <cell r="CA1" t="str">
            <v>Saldo Laba Akhir Periode</v>
          </cell>
          <cell r="CB1" t="str">
            <v>Deposito rupiah wajib - BMI</v>
          </cell>
          <cell r="CC1" t="str">
            <v>Deposito rupiah - BMI</v>
          </cell>
          <cell r="CD1" t="str">
            <v>Deposito US Dollar - BMI</v>
          </cell>
          <cell r="CE1" t="str">
            <v>Deposito rupiah - IFI Syariah</v>
          </cell>
          <cell r="CF1" t="str">
            <v>Deposito rupiah - Bank Syariah Mandiri</v>
          </cell>
          <cell r="CG1" t="str">
            <v>Deposito rupiah - Bank Mandiri*)</v>
          </cell>
          <cell r="CH1" t="str">
            <v>Deposito rupiah - Bank Jabar Syariah</v>
          </cell>
          <cell r="CI1" t="str">
            <v>Deposito rupiah - BNI Syariah</v>
          </cell>
          <cell r="CJ1" t="str">
            <v>Deposito rupiah pada BPRS</v>
          </cell>
          <cell r="CK1" t="str">
            <v>Jumlah</v>
          </cell>
          <cell r="CL1" t="str">
            <v>Saham (Stocks)</v>
          </cell>
          <cell r="CM1" t="str">
            <v>Tanah dan Bangunan</v>
          </cell>
          <cell r="CN1" t="str">
            <v>Hipotik</v>
          </cell>
          <cell r="CO1" t="str">
            <v>Motorisasi</v>
          </cell>
          <cell r="CP1" t="str">
            <v>PT. Novalindo</v>
          </cell>
          <cell r="CQ1" t="str">
            <v>PT. Lintasindo</v>
          </cell>
          <cell r="CR1" t="str">
            <v>CV. Dolla</v>
          </cell>
          <cell r="CS1" t="str">
            <v>PT. Multi Gilang Utama</v>
          </cell>
          <cell r="CT1" t="str">
            <v>PT. Bebete Multi Usaha Jaya</v>
          </cell>
          <cell r="CU1" t="str">
            <v>PT. Hilal Global Indonesia</v>
          </cell>
          <cell r="CV1" t="str">
            <v>Mukti Gilang Utama, PT</v>
          </cell>
          <cell r="CW1" t="str">
            <v>Dolla, CV</v>
          </cell>
          <cell r="CX1" t="str">
            <v>Bebete Multi Usaha Jaya, PT</v>
          </cell>
          <cell r="CY1" t="str">
            <v>Soniro, PT</v>
          </cell>
          <cell r="CZ1" t="str">
            <v>PT MGU</v>
          </cell>
          <cell r="DA1" t="str">
            <v>PT Hilal</v>
          </cell>
          <cell r="DB1" t="str">
            <v>PT. Phonka Citra Internasional</v>
          </cell>
          <cell r="DC1" t="str">
            <v>Jumlah</v>
          </cell>
          <cell r="DD1" t="str">
            <v>Kas</v>
          </cell>
          <cell r="DE1" t="str">
            <v>Bank Muamalat Indonesia</v>
          </cell>
          <cell r="DF1" t="str">
            <v>Bank Negara Indonesia</v>
          </cell>
          <cell r="DG1" t="str">
            <v>BNI Syariah</v>
          </cell>
          <cell r="DH1" t="str">
            <v>Bank Mandiri</v>
          </cell>
          <cell r="DI1" t="str">
            <v>Bank SyariahMandiri</v>
          </cell>
          <cell r="DJ1" t="str">
            <v>BPRS</v>
          </cell>
          <cell r="DK1" t="str">
            <v>Bank IFI Syariah</v>
          </cell>
          <cell r="DL1" t="str">
            <v>Bank Lainnya</v>
          </cell>
          <cell r="DM1" t="str">
            <v>Jumlah</v>
          </cell>
          <cell r="DN1" t="str">
            <v>Nilai Buku</v>
          </cell>
          <cell r="DO1" t="str">
            <v>HP</v>
          </cell>
          <cell r="DP1" t="str">
            <v>Ak Peny</v>
          </cell>
          <cell r="DQ1" t="str">
            <v>Kendaraan (nilai buku)</v>
          </cell>
          <cell r="DR1" t="str">
            <v>Utang/Piutang Afiliasi</v>
          </cell>
          <cell r="DS1" t="str">
            <v>Inventaris (nilai buku)</v>
          </cell>
          <cell r="DT1" t="str">
            <v>Biaya dibayar di muka (sewa kantor)</v>
          </cell>
          <cell r="DU1" t="str">
            <v>Piutang reasuransi pada PT Tugu-Re</v>
          </cell>
          <cell r="DV1" t="str">
            <v>Piutang lainnya</v>
          </cell>
          <cell r="DW1" t="str">
            <v>Jumlah</v>
          </cell>
          <cell r="DX1" t="str">
            <v>Cadangan Premi Asuransi Jiwa</v>
          </cell>
          <cell r="DY1" t="str">
            <v>Hutang Klaim</v>
          </cell>
          <cell r="DZ1" t="str">
            <v>Titipan Premi</v>
          </cell>
          <cell r="EA1" t="str">
            <v>Hutang Reasuransi</v>
          </cell>
          <cell r="EB1" t="str">
            <v>Hutang pajak</v>
          </cell>
          <cell r="EC1" t="str">
            <v>Saldo Laba Tahun Lalu</v>
          </cell>
          <cell r="ED1" t="str">
            <v>Laba (Rugi) Periode Berjalan</v>
          </cell>
          <cell r="EE1" t="str">
            <v>Cadangan Keuntungan (Kerugian) Investasi Saham.</v>
          </cell>
        </row>
        <row r="2">
          <cell r="C2">
            <v>18649988282.470001</v>
          </cell>
          <cell r="D2">
            <v>6470347321.2800007</v>
          </cell>
          <cell r="E2">
            <v>25120335603.75</v>
          </cell>
          <cell r="F2">
            <v>5760243869.6599998</v>
          </cell>
          <cell r="G2">
            <v>12889744412.809999</v>
          </cell>
          <cell r="H2">
            <v>18649988282.470001</v>
          </cell>
          <cell r="I2">
            <v>1784383331.3853333</v>
          </cell>
          <cell r="J2">
            <v>1258455363.3486073</v>
          </cell>
          <cell r="K2">
            <v>-2522681776.8000002</v>
          </cell>
          <cell r="L2">
            <v>136983776</v>
          </cell>
          <cell r="M2">
            <v>24228741.800000001</v>
          </cell>
          <cell r="N2">
            <v>94941883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-1008072012.6513929</v>
          </cell>
          <cell r="Z2">
            <v>0</v>
          </cell>
          <cell r="AA2">
            <v>13029521619</v>
          </cell>
          <cell r="AB2">
            <v>1959572535.0700002</v>
          </cell>
          <cell r="AC2">
            <v>7375376807.5</v>
          </cell>
          <cell r="AD2">
            <v>22364470961.57</v>
          </cell>
          <cell r="AE2">
            <v>3005782879</v>
          </cell>
          <cell r="AF2">
            <v>5060926430</v>
          </cell>
          <cell r="AG2">
            <v>4783436325</v>
          </cell>
          <cell r="AH2">
            <v>179375985</v>
          </cell>
          <cell r="AI2">
            <v>13029521619</v>
          </cell>
          <cell r="AJ2">
            <v>2306022339.6599998</v>
          </cell>
          <cell r="AK2">
            <v>29731675</v>
          </cell>
          <cell r="AL2">
            <v>114049210.17</v>
          </cell>
          <cell r="AM2">
            <v>46910898</v>
          </cell>
          <cell r="AN2">
            <v>18099607</v>
          </cell>
          <cell r="AO2">
            <v>62979272</v>
          </cell>
          <cell r="AP2">
            <v>2577793001.8299999</v>
          </cell>
          <cell r="AQ2">
            <v>2056353567</v>
          </cell>
          <cell r="AR2">
            <v>166673114.5</v>
          </cell>
          <cell r="AS2">
            <v>250641326</v>
          </cell>
          <cell r="AT2">
            <v>20317194</v>
          </cell>
          <cell r="AU2">
            <v>53143566</v>
          </cell>
          <cell r="AV2">
            <v>18303177</v>
          </cell>
          <cell r="AW2">
            <v>2565431944.5</v>
          </cell>
          <cell r="AX2">
            <v>97987801</v>
          </cell>
          <cell r="AY2">
            <v>5872000</v>
          </cell>
          <cell r="AZ2">
            <v>0</v>
          </cell>
          <cell r="BA2">
            <v>8481455</v>
          </cell>
          <cell r="BB2">
            <v>112341256</v>
          </cell>
          <cell r="BC2">
            <v>110304934.36</v>
          </cell>
          <cell r="BD2">
            <v>617474651.70000005</v>
          </cell>
          <cell r="BE2">
            <v>36066115</v>
          </cell>
          <cell r="BF2">
            <v>270333807</v>
          </cell>
          <cell r="BG2">
            <v>134740707</v>
          </cell>
          <cell r="BH2">
            <v>91596609</v>
          </cell>
          <cell r="BI2">
            <v>56682435</v>
          </cell>
          <cell r="BJ2">
            <v>185769225</v>
          </cell>
          <cell r="BK2">
            <v>35703100</v>
          </cell>
          <cell r="BL2">
            <v>27351596</v>
          </cell>
          <cell r="BM2">
            <v>29777380</v>
          </cell>
          <cell r="BN2">
            <v>14419765</v>
          </cell>
          <cell r="BO2">
            <v>367995722</v>
          </cell>
          <cell r="BP2">
            <v>119107513</v>
          </cell>
          <cell r="BQ2">
            <v>90897621</v>
          </cell>
          <cell r="BR2">
            <v>51536087</v>
          </cell>
          <cell r="BS2">
            <v>46229712</v>
          </cell>
          <cell r="BT2">
            <v>12994959.68</v>
          </cell>
          <cell r="BU2">
            <v>250271048</v>
          </cell>
          <cell r="BV2">
            <v>38859498</v>
          </cell>
          <cell r="BW2">
            <v>2588112485.7399998</v>
          </cell>
          <cell r="BX2">
            <v>-3882754720.1467271</v>
          </cell>
          <cell r="BY2">
            <v>-3882754720.1467271</v>
          </cell>
          <cell r="BZ2">
            <v>561523870.70274436</v>
          </cell>
          <cell r="CA2">
            <v>-3321230849.4439826</v>
          </cell>
          <cell r="CB2">
            <v>400000000</v>
          </cell>
          <cell r="CC2">
            <v>15330387377.52</v>
          </cell>
          <cell r="CD2">
            <v>5591652500</v>
          </cell>
          <cell r="CE2">
            <v>6880000000</v>
          </cell>
          <cell r="CF2">
            <v>8765000000</v>
          </cell>
          <cell r="CG2">
            <v>300000000</v>
          </cell>
          <cell r="CH2">
            <v>410000000</v>
          </cell>
          <cell r="CI2">
            <v>285000000</v>
          </cell>
          <cell r="CJ2">
            <v>487098762.56</v>
          </cell>
          <cell r="CK2">
            <v>38449138640.080002</v>
          </cell>
          <cell r="CL2">
            <v>1460862724</v>
          </cell>
          <cell r="CM2">
            <v>6400703885</v>
          </cell>
          <cell r="CN2">
            <v>4613398416</v>
          </cell>
          <cell r="CO2">
            <v>2491803939.3425131</v>
          </cell>
          <cell r="CP2">
            <v>8000000000</v>
          </cell>
          <cell r="CQ2">
            <v>3000000000</v>
          </cell>
          <cell r="CR2">
            <v>570000000</v>
          </cell>
          <cell r="CS2">
            <v>1000000000</v>
          </cell>
          <cell r="CT2">
            <v>1000000000</v>
          </cell>
          <cell r="CU2">
            <v>4392499999.8158531</v>
          </cell>
          <cell r="CV2">
            <v>3777549999.8416333</v>
          </cell>
          <cell r="CW2">
            <v>430000000</v>
          </cell>
          <cell r="CX2">
            <v>3000000000</v>
          </cell>
          <cell r="CY2">
            <v>3000000000</v>
          </cell>
          <cell r="CZ2">
            <v>130000000</v>
          </cell>
          <cell r="DA2">
            <v>167000000</v>
          </cell>
          <cell r="DB2">
            <v>861750000</v>
          </cell>
          <cell r="DC2">
            <v>31820603939</v>
          </cell>
          <cell r="DD2">
            <v>278141466</v>
          </cell>
          <cell r="DE2">
            <v>3870786265.4700003</v>
          </cell>
          <cell r="DF2">
            <v>374061629</v>
          </cell>
          <cell r="DG2">
            <v>472981388.65999997</v>
          </cell>
          <cell r="DH2">
            <v>298871729.43000001</v>
          </cell>
          <cell r="DI2">
            <v>858127442.02999985</v>
          </cell>
          <cell r="DJ2">
            <v>216206437.55000001</v>
          </cell>
          <cell r="DK2">
            <v>74488471</v>
          </cell>
          <cell r="DL2">
            <v>205779352.92000002</v>
          </cell>
          <cell r="DM2">
            <v>6649444182.0600004</v>
          </cell>
          <cell r="DN2">
            <v>1825201633</v>
          </cell>
          <cell r="DO2">
            <v>2553332220</v>
          </cell>
          <cell r="DP2">
            <v>728130587</v>
          </cell>
          <cell r="DQ2">
            <v>1825201633</v>
          </cell>
          <cell r="DR2">
            <v>78545638</v>
          </cell>
          <cell r="DS2">
            <v>132342021</v>
          </cell>
          <cell r="DT2">
            <v>583911901.51515102</v>
          </cell>
          <cell r="DU2">
            <v>761826403.77699995</v>
          </cell>
          <cell r="DV2">
            <v>435021365</v>
          </cell>
          <cell r="DW2">
            <v>4400404986.2921505</v>
          </cell>
          <cell r="DX2">
            <v>83925093283.5</v>
          </cell>
          <cell r="DY2">
            <v>779779631.46666658</v>
          </cell>
          <cell r="DZ2">
            <v>726753414.24999952</v>
          </cell>
          <cell r="EA2">
            <v>184608406.59999999</v>
          </cell>
          <cell r="EB2">
            <v>49573603.509999998</v>
          </cell>
          <cell r="EC2">
            <v>561523870.70274436</v>
          </cell>
          <cell r="ED2">
            <v>-3882754720.1467271</v>
          </cell>
          <cell r="EE2">
            <v>-1401195661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le"/>
      <sheetName val="SP"/>
      <sheetName val="Daftar isi "/>
      <sheetName val="LPK"/>
      <sheetName val="LRK"/>
      <sheetName val="Arus Kas"/>
      <sheetName val="LPE"/>
      <sheetName val="Rasio"/>
      <sheetName val="Risiko Kredit"/>
      <sheetName val="Risiko Kredit (a)"/>
      <sheetName val="Risiko Kredit (b)"/>
      <sheetName val="Risiko Likuiditas"/>
      <sheetName val="Risiko Pasar"/>
      <sheetName val="Risiko Pasar (a)"/>
      <sheetName val="Risiko Pasar (b)"/>
      <sheetName val="Risiko Pasar (c)"/>
      <sheetName val="Risiko Asuransi"/>
      <sheetName val="Risiko Opr"/>
      <sheetName val="Pemisahan"/>
      <sheetName val="Perhitungan AYD"/>
      <sheetName val="Sub A"/>
      <sheetName val="Sub B "/>
      <sheetName val="Sub C "/>
      <sheetName val="Sub D  "/>
      <sheetName val="Sub E "/>
      <sheetName val="Rincian 101 Deposito"/>
      <sheetName val="Rincian 102 Saham"/>
      <sheetName val="Rincian 103 Obligasi"/>
      <sheetName val="Rincian 104 MTN"/>
      <sheetName val="Rincian 105 SBN"/>
      <sheetName val="Rincian 106 SB Lain"/>
      <sheetName val="Rincian 107 SBI"/>
      <sheetName val="Rincian 108 SB LM"/>
      <sheetName val="Rincian 109 Reksadana"/>
      <sheetName val="Rincian 110 EBA"/>
      <sheetName val="Rincian 111 DIRE"/>
      <sheetName val="Rincian 112 REPO"/>
      <sheetName val="Rincian 113 PL"/>
      <sheetName val="Rincian 114 Properti"/>
      <sheetName val="Rincian 115 Pembiayaan"/>
      <sheetName val="Rincian 116 Emas"/>
      <sheetName val="Rincian 117 Hipotik"/>
      <sheetName val="Rincian 118 Pinj Polis"/>
      <sheetName val="Rincian 119 Inv Lain"/>
      <sheetName val="Rincian 201 Kas"/>
      <sheetName val="Rincian 202 Premi PL"/>
      <sheetName val="Rincian 203 Premi Reas"/>
      <sheetName val="Rincian 204 Aset Reas"/>
      <sheetName val="Rincian 205 Klaim Koas"/>
      <sheetName val="Rincian 206 Klaim Reas"/>
      <sheetName val="Rincian 207 Tagihan Inv"/>
      <sheetName val="Rincian 208 Hasil Investasi"/>
      <sheetName val="Rincian 209 Bangunan"/>
      <sheetName val="Rincian 210 DAC"/>
      <sheetName val="Rincian 211 Aset Tetap Lain"/>
      <sheetName val="Rincian 212 Aset Lain"/>
      <sheetName val="Rincian 301 Utang Klaim"/>
      <sheetName val="Rincian 302 Utang Koas"/>
      <sheetName val="Rincian 303 Utang Reas"/>
      <sheetName val="Rincian 304 Utang Komisi"/>
      <sheetName val="Rincian 305 Biaya Hrs Dibayar"/>
      <sheetName val="Rincian 306"/>
      <sheetName val="Rincian 401 (PAJ) "/>
      <sheetName val="Rincian 401 "/>
      <sheetName val="Rincian 402 "/>
      <sheetName val="Rincian 403"/>
      <sheetName val="Rincian 404 (Cat-Risk)"/>
      <sheetName val="Rincian 501 Sumber Pdpt Premi "/>
      <sheetName val="Rincian 501A Region Premi"/>
      <sheetName val="Rincian 501B Premi kota-kab"/>
      <sheetName val="Rincian 502 Premi Reas"/>
      <sheetName val="Rincian 503 Hasil Inv"/>
      <sheetName val="Rincian 504 Fee"/>
      <sheetName val="Rincian 505 Pdpt Lain"/>
      <sheetName val="Rincian 506 Beban As"/>
      <sheetName val="Rincian 506A Region Klaim"/>
      <sheetName val="Rincian 506B Klaim kota-kab"/>
      <sheetName val="Rincian 507 Beban Lain"/>
      <sheetName val="Rincian 508 Pdpt Lain"/>
      <sheetName val="Rincian 601"/>
      <sheetName val="Dana Jaminan"/>
      <sheetName val="Rincian DJ"/>
      <sheetName val="Rasio Lain"/>
      <sheetName val="Rasio Diklat  "/>
      <sheetName val="ALM "/>
      <sheetName val="Rincian DC "/>
    </sheetNames>
    <sheetDataSet>
      <sheetData sheetId="0"/>
      <sheetData sheetId="1"/>
      <sheetData sheetId="2"/>
      <sheetData sheetId="3"/>
      <sheetData sheetId="4"/>
      <sheetData sheetId="5"/>
      <sheetData sheetId="6">
        <row r="52">
          <cell r="D5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FS"/>
      <sheetName val="FORMAT 4"/>
      <sheetName val="FORMAT 3"/>
      <sheetName val="AJP"/>
      <sheetName val="Sheet2"/>
      <sheetName val="WS"/>
      <sheetName val="DPS_DPT"/>
      <sheetName val="EXPENSE"/>
      <sheetName val="FORMAT 1"/>
      <sheetName val="BUDGET"/>
      <sheetName val="TB"/>
      <sheetName val="FORMAT 2"/>
      <sheetName val="Sheet1"/>
      <sheetName val="CASH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9">
          <cell r="E9">
            <v>1200323</v>
          </cell>
        </row>
        <row r="10">
          <cell r="E10" t="str">
            <v>1110101</v>
          </cell>
        </row>
        <row r="11">
          <cell r="E11" t="str">
            <v>1020101</v>
          </cell>
        </row>
        <row r="12">
          <cell r="E12">
            <v>1200323</v>
          </cell>
        </row>
        <row r="13">
          <cell r="E13" t="str">
            <v>1190101</v>
          </cell>
        </row>
        <row r="15">
          <cell r="E15" t="str">
            <v>1100101</v>
          </cell>
        </row>
        <row r="16">
          <cell r="E16" t="str">
            <v>5900203</v>
          </cell>
        </row>
        <row r="18">
          <cell r="E18" t="str">
            <v>5900203</v>
          </cell>
        </row>
        <row r="19">
          <cell r="E19" t="str">
            <v>1190101</v>
          </cell>
        </row>
        <row r="21">
          <cell r="E21" t="str">
            <v>5501404</v>
          </cell>
        </row>
        <row r="22">
          <cell r="E22" t="str">
            <v>1190101</v>
          </cell>
        </row>
        <row r="24">
          <cell r="E24">
            <v>1200323</v>
          </cell>
        </row>
        <row r="25">
          <cell r="E25" t="str">
            <v>1050101</v>
          </cell>
        </row>
        <row r="26">
          <cell r="E26" t="str">
            <v>1050101</v>
          </cell>
        </row>
        <row r="27">
          <cell r="E27" t="str">
            <v>1050101</v>
          </cell>
        </row>
        <row r="28">
          <cell r="E28" t="str">
            <v>1050101</v>
          </cell>
        </row>
        <row r="29">
          <cell r="E29" t="str">
            <v>1050101</v>
          </cell>
        </row>
        <row r="30">
          <cell r="E30" t="str">
            <v>1050101</v>
          </cell>
        </row>
        <row r="31">
          <cell r="E31" t="str">
            <v>1050101</v>
          </cell>
        </row>
        <row r="32">
          <cell r="E32" t="str">
            <v>1050101</v>
          </cell>
        </row>
        <row r="33">
          <cell r="E33" t="str">
            <v>1050101</v>
          </cell>
        </row>
        <row r="34">
          <cell r="E34" t="str">
            <v>1050101</v>
          </cell>
        </row>
        <row r="36">
          <cell r="E36" t="str">
            <v>1050101</v>
          </cell>
        </row>
        <row r="37">
          <cell r="E37" t="str">
            <v>1050101</v>
          </cell>
        </row>
        <row r="38">
          <cell r="E38" t="str">
            <v>1050101</v>
          </cell>
        </row>
        <row r="39">
          <cell r="E39" t="str">
            <v>1050101</v>
          </cell>
        </row>
        <row r="40">
          <cell r="E40" t="str">
            <v>1050101</v>
          </cell>
        </row>
        <row r="41">
          <cell r="E41" t="str">
            <v>1050101</v>
          </cell>
        </row>
        <row r="42">
          <cell r="E42" t="str">
            <v>1050101</v>
          </cell>
        </row>
        <row r="43">
          <cell r="E43" t="str">
            <v>1050101</v>
          </cell>
        </row>
        <row r="44">
          <cell r="E44" t="str">
            <v>1050101</v>
          </cell>
        </row>
        <row r="45">
          <cell r="E45">
            <v>1200323</v>
          </cell>
        </row>
        <row r="47">
          <cell r="E47">
            <v>5510409</v>
          </cell>
        </row>
        <row r="48">
          <cell r="E48">
            <v>5501502</v>
          </cell>
        </row>
        <row r="49">
          <cell r="E49">
            <v>1200323</v>
          </cell>
        </row>
        <row r="51">
          <cell r="E51">
            <v>1200323</v>
          </cell>
        </row>
        <row r="52">
          <cell r="E52" t="str">
            <v>4100101</v>
          </cell>
        </row>
        <row r="53">
          <cell r="E53" t="str">
            <v>1020301</v>
          </cell>
        </row>
        <row r="55">
          <cell r="E55" t="str">
            <v>1020301</v>
          </cell>
        </row>
        <row r="56">
          <cell r="E56">
            <v>1200323</v>
          </cell>
        </row>
        <row r="58">
          <cell r="E58">
            <v>1200323</v>
          </cell>
        </row>
        <row r="59">
          <cell r="E59" t="str">
            <v>5900101</v>
          </cell>
        </row>
        <row r="61">
          <cell r="E61" t="str">
            <v>5501404</v>
          </cell>
        </row>
        <row r="62">
          <cell r="E62">
            <v>1200323</v>
          </cell>
        </row>
        <row r="64">
          <cell r="E64" t="str">
            <v>5501502</v>
          </cell>
        </row>
        <row r="65">
          <cell r="E65">
            <v>5510409</v>
          </cell>
        </row>
        <row r="66">
          <cell r="E66">
            <v>1200323</v>
          </cell>
        </row>
        <row r="68">
          <cell r="E68" t="str">
            <v>1080101</v>
          </cell>
        </row>
        <row r="69">
          <cell r="E69">
            <v>1050101</v>
          </cell>
        </row>
        <row r="70">
          <cell r="E70">
            <v>1050101</v>
          </cell>
        </row>
        <row r="71">
          <cell r="E71" t="str">
            <v>4100301</v>
          </cell>
        </row>
        <row r="73">
          <cell r="E73">
            <v>1050101</v>
          </cell>
        </row>
        <row r="74">
          <cell r="E74">
            <v>1050101</v>
          </cell>
        </row>
        <row r="75">
          <cell r="E75">
            <v>1050101</v>
          </cell>
        </row>
        <row r="76">
          <cell r="E76" t="str">
            <v>1060101</v>
          </cell>
        </row>
        <row r="77">
          <cell r="E77" t="str">
            <v>1080101</v>
          </cell>
        </row>
        <row r="78">
          <cell r="E78" t="str">
            <v>4100301</v>
          </cell>
        </row>
        <row r="80">
          <cell r="E80">
            <v>1050101</v>
          </cell>
        </row>
        <row r="81">
          <cell r="E81">
            <v>1050101</v>
          </cell>
        </row>
        <row r="82">
          <cell r="E82" t="str">
            <v>4200201</v>
          </cell>
        </row>
        <row r="83">
          <cell r="E83" t="str">
            <v>4200201</v>
          </cell>
        </row>
        <row r="85">
          <cell r="E85" t="str">
            <v>1080101</v>
          </cell>
        </row>
        <row r="86">
          <cell r="E86" t="str">
            <v>3010201</v>
          </cell>
        </row>
        <row r="88">
          <cell r="E88">
            <v>5510408</v>
          </cell>
        </row>
        <row r="89">
          <cell r="E89">
            <v>5510409</v>
          </cell>
        </row>
        <row r="90">
          <cell r="E90" t="str">
            <v>2500101</v>
          </cell>
        </row>
        <row r="91">
          <cell r="E91" t="str">
            <v>2500101</v>
          </cell>
        </row>
        <row r="93">
          <cell r="E93">
            <v>1200323</v>
          </cell>
        </row>
        <row r="94">
          <cell r="E94">
            <v>4100101</v>
          </cell>
        </row>
        <row r="95">
          <cell r="E95">
            <v>4100401</v>
          </cell>
        </row>
        <row r="96">
          <cell r="E96">
            <v>4100401</v>
          </cell>
        </row>
        <row r="98">
          <cell r="E98" t="str">
            <v>2500101</v>
          </cell>
        </row>
        <row r="99">
          <cell r="E99">
            <v>1200323</v>
          </cell>
        </row>
        <row r="101">
          <cell r="E101">
            <v>1200323</v>
          </cell>
        </row>
        <row r="102">
          <cell r="E102" t="str">
            <v>5900101</v>
          </cell>
        </row>
        <row r="104">
          <cell r="E104" t="str">
            <v>5501502</v>
          </cell>
        </row>
        <row r="105">
          <cell r="E105">
            <v>1200323</v>
          </cell>
        </row>
        <row r="107">
          <cell r="E107" t="str">
            <v>3010201</v>
          </cell>
        </row>
        <row r="108">
          <cell r="E108" t="str">
            <v>1080101</v>
          </cell>
        </row>
        <row r="110">
          <cell r="E110" t="str">
            <v>3010201</v>
          </cell>
        </row>
        <row r="111">
          <cell r="E111" t="str">
            <v>1060101</v>
          </cell>
        </row>
        <row r="113">
          <cell r="E113" t="str">
            <v>3010201</v>
          </cell>
        </row>
        <row r="114">
          <cell r="E114" t="str">
            <v>1050101</v>
          </cell>
        </row>
        <row r="116">
          <cell r="E116" t="str">
            <v>4200201</v>
          </cell>
        </row>
        <row r="117">
          <cell r="E117" t="str">
            <v>1080101</v>
          </cell>
        </row>
        <row r="119">
          <cell r="E119" t="str">
            <v>1060101</v>
          </cell>
        </row>
        <row r="120">
          <cell r="E120" t="str">
            <v>4200201</v>
          </cell>
        </row>
        <row r="122">
          <cell r="E122" t="str">
            <v>4200201</v>
          </cell>
        </row>
        <row r="123">
          <cell r="E123" t="str">
            <v>1050101</v>
          </cell>
        </row>
        <row r="125">
          <cell r="E125" t="str">
            <v>1080101</v>
          </cell>
        </row>
        <row r="126">
          <cell r="E126" t="str">
            <v>3010201</v>
          </cell>
        </row>
        <row r="128">
          <cell r="E128" t="str">
            <v>1060101</v>
          </cell>
        </row>
        <row r="129">
          <cell r="E129" t="str">
            <v>3010201</v>
          </cell>
        </row>
        <row r="131">
          <cell r="E131" t="str">
            <v>1050101</v>
          </cell>
        </row>
        <row r="132">
          <cell r="E132" t="str">
            <v>3010201</v>
          </cell>
        </row>
        <row r="134">
          <cell r="E134" t="str">
            <v>1080101</v>
          </cell>
        </row>
        <row r="135">
          <cell r="E135" t="str">
            <v>4200201</v>
          </cell>
        </row>
        <row r="137">
          <cell r="E137" t="str">
            <v>4200201</v>
          </cell>
        </row>
        <row r="138">
          <cell r="E138" t="str">
            <v>1060101</v>
          </cell>
        </row>
        <row r="140">
          <cell r="E140" t="str">
            <v>1050101</v>
          </cell>
        </row>
        <row r="141">
          <cell r="E141" t="str">
            <v>4200201</v>
          </cell>
        </row>
        <row r="143">
          <cell r="E143" t="str">
            <v>2040101</v>
          </cell>
        </row>
        <row r="144">
          <cell r="E144" t="str">
            <v>1200301</v>
          </cell>
        </row>
        <row r="146">
          <cell r="E146" t="str">
            <v>5501101</v>
          </cell>
        </row>
        <row r="147">
          <cell r="E147" t="str">
            <v>5501103</v>
          </cell>
        </row>
        <row r="148">
          <cell r="E148" t="str">
            <v>5501102</v>
          </cell>
        </row>
        <row r="149">
          <cell r="E149" t="str">
            <v>1800101</v>
          </cell>
        </row>
        <row r="150">
          <cell r="E150" t="str">
            <v>1800102</v>
          </cell>
        </row>
        <row r="151">
          <cell r="E151" t="str">
            <v>1800106</v>
          </cell>
        </row>
        <row r="153">
          <cell r="E153" t="str">
            <v>4050101</v>
          </cell>
        </row>
        <row r="154">
          <cell r="E154" t="str">
            <v>1330101</v>
          </cell>
        </row>
        <row r="156">
          <cell r="E156">
            <v>1330101</v>
          </cell>
        </row>
        <row r="157">
          <cell r="E157">
            <v>5020101</v>
          </cell>
        </row>
        <row r="159">
          <cell r="E159" t="str">
            <v>5030101</v>
          </cell>
        </row>
        <row r="160">
          <cell r="E160" t="str">
            <v>2010101</v>
          </cell>
        </row>
        <row r="162">
          <cell r="E162" t="str">
            <v>2040101</v>
          </cell>
        </row>
        <row r="163">
          <cell r="E163">
            <v>4010101</v>
          </cell>
        </row>
        <row r="165">
          <cell r="E165">
            <v>4010201</v>
          </cell>
        </row>
        <row r="166">
          <cell r="E166" t="str">
            <v>2040101</v>
          </cell>
        </row>
        <row r="168">
          <cell r="E168">
            <v>4020201</v>
          </cell>
        </row>
        <row r="169">
          <cell r="E169" t="str">
            <v>2040101</v>
          </cell>
        </row>
        <row r="171">
          <cell r="E171" t="str">
            <v>2040101</v>
          </cell>
        </row>
        <row r="172">
          <cell r="E172">
            <v>4020101</v>
          </cell>
        </row>
        <row r="174">
          <cell r="E174" t="str">
            <v>4040101</v>
          </cell>
        </row>
        <row r="175">
          <cell r="E175" t="str">
            <v>2040101</v>
          </cell>
        </row>
        <row r="177">
          <cell r="E177">
            <v>5010901</v>
          </cell>
        </row>
        <row r="178">
          <cell r="E178">
            <v>2020101</v>
          </cell>
        </row>
        <row r="179">
          <cell r="E179">
            <v>5010101</v>
          </cell>
        </row>
        <row r="180">
          <cell r="E180">
            <v>5010501</v>
          </cell>
        </row>
        <row r="181">
          <cell r="E181">
            <v>5011601</v>
          </cell>
        </row>
        <row r="183">
          <cell r="E183">
            <v>4050205</v>
          </cell>
        </row>
        <row r="184">
          <cell r="E184">
            <v>4025502</v>
          </cell>
        </row>
        <row r="186">
          <cell r="E186" t="str">
            <v>5100103</v>
          </cell>
        </row>
        <row r="187">
          <cell r="E187">
            <v>4050102</v>
          </cell>
        </row>
        <row r="188">
          <cell r="E188">
            <v>1200323</v>
          </cell>
        </row>
        <row r="189">
          <cell r="E189" t="str">
            <v>4010201</v>
          </cell>
        </row>
        <row r="190">
          <cell r="E190">
            <v>1330101</v>
          </cell>
        </row>
        <row r="191">
          <cell r="E191">
            <v>2200101</v>
          </cell>
        </row>
        <row r="192">
          <cell r="E192">
            <v>4900102</v>
          </cell>
        </row>
        <row r="193">
          <cell r="E193">
            <v>4900103</v>
          </cell>
        </row>
        <row r="195">
          <cell r="E195" t="str">
            <v>5300902</v>
          </cell>
        </row>
        <row r="196">
          <cell r="E196" t="str">
            <v>2400109</v>
          </cell>
        </row>
        <row r="198">
          <cell r="E198">
            <v>5500201</v>
          </cell>
        </row>
        <row r="199">
          <cell r="E199" t="str">
            <v>2500102</v>
          </cell>
        </row>
        <row r="201">
          <cell r="E201" t="str">
            <v>5300501</v>
          </cell>
        </row>
        <row r="202">
          <cell r="E202" t="str">
            <v>2500101</v>
          </cell>
        </row>
        <row r="204">
          <cell r="E204">
            <v>1200323</v>
          </cell>
        </row>
        <row r="205">
          <cell r="E205" t="str">
            <v>4200101</v>
          </cell>
        </row>
        <row r="206">
          <cell r="E206" t="str">
            <v>4100101</v>
          </cell>
        </row>
        <row r="207">
          <cell r="E207" t="str">
            <v>4100105</v>
          </cell>
        </row>
        <row r="208">
          <cell r="E208" t="str">
            <v>4100602</v>
          </cell>
        </row>
        <row r="209">
          <cell r="E209" t="str">
            <v>4100802</v>
          </cell>
        </row>
        <row r="210">
          <cell r="E210" t="str">
            <v>4100901</v>
          </cell>
        </row>
        <row r="211">
          <cell r="E211" t="str">
            <v>4101105</v>
          </cell>
        </row>
        <row r="212">
          <cell r="E212" t="str">
            <v>4105101</v>
          </cell>
        </row>
        <row r="213">
          <cell r="E213" t="str">
            <v>4105801</v>
          </cell>
        </row>
        <row r="214">
          <cell r="E214" t="str">
            <v>4106001</v>
          </cell>
        </row>
        <row r="215">
          <cell r="E215" t="str">
            <v>4200201</v>
          </cell>
        </row>
        <row r="216">
          <cell r="E216" t="str">
            <v>4100102</v>
          </cell>
        </row>
        <row r="217">
          <cell r="E217" t="str">
            <v>4100401</v>
          </cell>
        </row>
        <row r="218">
          <cell r="E218" t="str">
            <v>4100301</v>
          </cell>
        </row>
        <row r="219">
          <cell r="E219" t="str">
            <v>4105901</v>
          </cell>
        </row>
        <row r="220">
          <cell r="E220" t="str">
            <v>4100801</v>
          </cell>
        </row>
        <row r="221">
          <cell r="E221" t="str">
            <v>4100601</v>
          </cell>
        </row>
        <row r="223">
          <cell r="E223" t="str">
            <v>5900201</v>
          </cell>
        </row>
        <row r="224">
          <cell r="E224" t="str">
            <v>1100101</v>
          </cell>
        </row>
        <row r="226">
          <cell r="E226" t="str">
            <v>2200101</v>
          </cell>
        </row>
        <row r="227">
          <cell r="E227" t="str">
            <v>1200301</v>
          </cell>
        </row>
        <row r="229">
          <cell r="E229" t="str">
            <v>2500101</v>
          </cell>
        </row>
        <row r="230">
          <cell r="E230" t="str">
            <v>5300501</v>
          </cell>
        </row>
        <row r="232">
          <cell r="E232" t="str">
            <v>5500691</v>
          </cell>
        </row>
        <row r="233">
          <cell r="E233" t="str">
            <v>4100802</v>
          </cell>
        </row>
        <row r="235">
          <cell r="E235" t="str">
            <v>2070101</v>
          </cell>
        </row>
        <row r="236">
          <cell r="E236" t="str">
            <v>2040101</v>
          </cell>
        </row>
        <row r="238">
          <cell r="E238" t="str">
            <v>2040101</v>
          </cell>
        </row>
        <row r="239">
          <cell r="E239">
            <v>2020101</v>
          </cell>
        </row>
        <row r="241">
          <cell r="E241" t="str">
            <v>1200301</v>
          </cell>
        </row>
        <row r="242">
          <cell r="E242" t="str">
            <v>1310101</v>
          </cell>
        </row>
        <row r="244">
          <cell r="E244" t="str">
            <v>5501201</v>
          </cell>
        </row>
        <row r="245">
          <cell r="E245" t="str">
            <v>1520106</v>
          </cell>
        </row>
        <row r="247">
          <cell r="E247">
            <v>5400105</v>
          </cell>
        </row>
        <row r="248">
          <cell r="E248" t="str">
            <v>5400104</v>
          </cell>
        </row>
        <row r="250">
          <cell r="E250" t="str">
            <v>5500606</v>
          </cell>
        </row>
        <row r="251">
          <cell r="E251">
            <v>5300204</v>
          </cell>
        </row>
        <row r="253">
          <cell r="E253" t="str">
            <v>5501404</v>
          </cell>
        </row>
        <row r="254">
          <cell r="E254" t="str">
            <v>5501405</v>
          </cell>
        </row>
        <row r="256">
          <cell r="E256" t="str">
            <v>5500691</v>
          </cell>
        </row>
        <row r="257">
          <cell r="E257" t="str">
            <v>5500701</v>
          </cell>
        </row>
        <row r="259">
          <cell r="E259" t="str">
            <v>5500702</v>
          </cell>
        </row>
        <row r="260">
          <cell r="E260" t="str">
            <v>1520106</v>
          </cell>
        </row>
        <row r="262">
          <cell r="E262" t="str">
            <v>1330101</v>
          </cell>
        </row>
        <row r="263">
          <cell r="E263" t="str">
            <v>1310101</v>
          </cell>
        </row>
        <row r="265">
          <cell r="E265" t="str">
            <v>2050101</v>
          </cell>
        </row>
        <row r="266">
          <cell r="E266" t="str">
            <v>1330101</v>
          </cell>
        </row>
        <row r="268">
          <cell r="E268" t="str">
            <v>1330101</v>
          </cell>
        </row>
        <row r="269">
          <cell r="E269" t="str">
            <v>2050101</v>
          </cell>
        </row>
        <row r="271">
          <cell r="E271" t="str">
            <v>5500691</v>
          </cell>
        </row>
        <row r="272">
          <cell r="E272" t="str">
            <v>5501201</v>
          </cell>
        </row>
        <row r="273">
          <cell r="E273" t="str">
            <v>5200103</v>
          </cell>
        </row>
        <row r="274">
          <cell r="E274" t="str">
            <v>1520106</v>
          </cell>
        </row>
        <row r="276">
          <cell r="E276" t="str">
            <v>5500606</v>
          </cell>
        </row>
        <row r="277">
          <cell r="E277">
            <v>5300204</v>
          </cell>
        </row>
        <row r="279">
          <cell r="E279" t="str">
            <v>5500701</v>
          </cell>
        </row>
        <row r="280">
          <cell r="E280" t="str">
            <v>2400105</v>
          </cell>
        </row>
        <row r="282">
          <cell r="E282" t="str">
            <v>5500691</v>
          </cell>
        </row>
        <row r="283">
          <cell r="E283" t="str">
            <v>3010301</v>
          </cell>
        </row>
        <row r="285">
          <cell r="E285" t="str">
            <v>5500701</v>
          </cell>
        </row>
        <row r="286">
          <cell r="E286" t="str">
            <v>5500702</v>
          </cell>
        </row>
        <row r="287">
          <cell r="E287" t="str">
            <v>5501201</v>
          </cell>
        </row>
        <row r="288">
          <cell r="E288" t="str">
            <v>5500201</v>
          </cell>
        </row>
        <row r="289">
          <cell r="E289" t="str">
            <v>1520106</v>
          </cell>
        </row>
        <row r="291">
          <cell r="E291" t="str">
            <v>5501201</v>
          </cell>
        </row>
        <row r="292">
          <cell r="E292">
            <v>4050205</v>
          </cell>
        </row>
        <row r="293">
          <cell r="E293" t="str">
            <v>5100109</v>
          </cell>
        </row>
        <row r="294">
          <cell r="E294" t="str">
            <v>1330101</v>
          </cell>
        </row>
        <row r="296">
          <cell r="E296" t="str">
            <v>4050101</v>
          </cell>
        </row>
        <row r="297">
          <cell r="E297">
            <v>1330101</v>
          </cell>
        </row>
        <row r="299">
          <cell r="E299">
            <v>5020101</v>
          </cell>
        </row>
        <row r="300">
          <cell r="E300" t="str">
            <v>2050101</v>
          </cell>
        </row>
        <row r="301">
          <cell r="E301" t="str">
            <v>4050101</v>
          </cell>
        </row>
        <row r="302">
          <cell r="E302" t="str">
            <v>1330101</v>
          </cell>
        </row>
        <row r="303">
          <cell r="E303" t="str">
            <v>1330101</v>
          </cell>
        </row>
        <row r="304">
          <cell r="E304" t="str">
            <v>1330101</v>
          </cell>
        </row>
        <row r="305">
          <cell r="E305" t="str">
            <v>4050101</v>
          </cell>
        </row>
        <row r="306">
          <cell r="E306" t="str">
            <v>4050101</v>
          </cell>
        </row>
        <row r="308">
          <cell r="E308" t="str">
            <v>1520105</v>
          </cell>
        </row>
        <row r="309">
          <cell r="E309" t="str">
            <v>1520106</v>
          </cell>
        </row>
        <row r="310">
          <cell r="E310" t="str">
            <v>1320101</v>
          </cell>
        </row>
        <row r="311">
          <cell r="E311" t="str">
            <v>1510101</v>
          </cell>
        </row>
        <row r="312">
          <cell r="E312" t="str">
            <v>1310101</v>
          </cell>
        </row>
        <row r="313">
          <cell r="E313" t="str">
            <v>1990101</v>
          </cell>
        </row>
        <row r="314">
          <cell r="E314" t="str">
            <v>1330101</v>
          </cell>
        </row>
        <row r="316">
          <cell r="E316" t="str">
            <v>1200301</v>
          </cell>
        </row>
        <row r="317">
          <cell r="E317" t="str">
            <v>2040101</v>
          </cell>
        </row>
        <row r="319">
          <cell r="E319" t="str">
            <v>2050101</v>
          </cell>
        </row>
        <row r="320">
          <cell r="E320" t="str">
            <v>5010501</v>
          </cell>
        </row>
        <row r="322">
          <cell r="E322" t="str">
            <v>1330101</v>
          </cell>
        </row>
        <row r="323">
          <cell r="E323" t="str">
            <v>4050101</v>
          </cell>
        </row>
        <row r="325">
          <cell r="E325">
            <v>1630101</v>
          </cell>
        </row>
        <row r="326">
          <cell r="E326">
            <v>1630102</v>
          </cell>
        </row>
        <row r="327">
          <cell r="E327">
            <v>1630103</v>
          </cell>
        </row>
        <row r="328">
          <cell r="E328">
            <v>1630208</v>
          </cell>
        </row>
        <row r="329">
          <cell r="E329">
            <v>1630291</v>
          </cell>
        </row>
        <row r="330">
          <cell r="E330">
            <v>1320101</v>
          </cell>
        </row>
        <row r="331">
          <cell r="E331">
            <v>1320102</v>
          </cell>
        </row>
        <row r="332">
          <cell r="E332">
            <v>1510101</v>
          </cell>
        </row>
        <row r="333">
          <cell r="E333">
            <v>1510102</v>
          </cell>
        </row>
        <row r="334">
          <cell r="E334">
            <v>1520101</v>
          </cell>
        </row>
        <row r="335">
          <cell r="E335">
            <v>1520102</v>
          </cell>
        </row>
        <row r="336">
          <cell r="E336">
            <v>1520103</v>
          </cell>
        </row>
        <row r="337">
          <cell r="E337">
            <v>1520104</v>
          </cell>
        </row>
        <row r="338">
          <cell r="E338">
            <v>1520108</v>
          </cell>
        </row>
        <row r="339">
          <cell r="E339">
            <v>1630191</v>
          </cell>
        </row>
        <row r="340">
          <cell r="E340">
            <v>2070101</v>
          </cell>
        </row>
        <row r="341">
          <cell r="E341">
            <v>2070102</v>
          </cell>
        </row>
        <row r="342">
          <cell r="E342">
            <v>2100101</v>
          </cell>
        </row>
        <row r="343">
          <cell r="E343">
            <v>2100102</v>
          </cell>
        </row>
        <row r="344">
          <cell r="E344">
            <v>2100103</v>
          </cell>
        </row>
        <row r="345">
          <cell r="E345">
            <v>2300101</v>
          </cell>
        </row>
        <row r="346">
          <cell r="E346">
            <v>2400101</v>
          </cell>
        </row>
        <row r="347">
          <cell r="E347">
            <v>2400105</v>
          </cell>
        </row>
        <row r="348">
          <cell r="E348">
            <v>2400108</v>
          </cell>
        </row>
        <row r="349">
          <cell r="E349">
            <v>2500101</v>
          </cell>
        </row>
        <row r="350">
          <cell r="E350">
            <v>2500102</v>
          </cell>
        </row>
        <row r="351">
          <cell r="E351">
            <v>2800101</v>
          </cell>
        </row>
        <row r="352">
          <cell r="E352">
            <v>1800101</v>
          </cell>
        </row>
        <row r="353">
          <cell r="E353">
            <v>1800102</v>
          </cell>
        </row>
        <row r="354">
          <cell r="E354">
            <v>1990101</v>
          </cell>
        </row>
        <row r="355">
          <cell r="E355">
            <v>1640103</v>
          </cell>
        </row>
        <row r="357">
          <cell r="E357">
            <v>1200101</v>
          </cell>
        </row>
        <row r="358">
          <cell r="E358">
            <v>1200102</v>
          </cell>
        </row>
        <row r="359">
          <cell r="E359">
            <v>1200201</v>
          </cell>
        </row>
        <row r="360">
          <cell r="E360">
            <v>1200202</v>
          </cell>
        </row>
        <row r="361">
          <cell r="E361">
            <v>1200301</v>
          </cell>
        </row>
        <row r="362">
          <cell r="E362">
            <v>1200302</v>
          </cell>
        </row>
        <row r="363">
          <cell r="E363">
            <v>1200303</v>
          </cell>
        </row>
        <row r="364">
          <cell r="E364">
            <v>1200305</v>
          </cell>
        </row>
        <row r="365">
          <cell r="E365">
            <v>1200306</v>
          </cell>
        </row>
        <row r="366">
          <cell r="E366">
            <v>1200307</v>
          </cell>
        </row>
        <row r="367">
          <cell r="E367">
            <v>1200308</v>
          </cell>
        </row>
        <row r="368">
          <cell r="E368">
            <v>1200309</v>
          </cell>
        </row>
        <row r="369">
          <cell r="E369">
            <v>1200310</v>
          </cell>
        </row>
        <row r="370">
          <cell r="E370">
            <v>1200311</v>
          </cell>
        </row>
        <row r="371">
          <cell r="E371">
            <v>1200312</v>
          </cell>
        </row>
        <row r="372">
          <cell r="E372">
            <v>1200314</v>
          </cell>
        </row>
        <row r="373">
          <cell r="E373">
            <v>1200315</v>
          </cell>
        </row>
        <row r="374">
          <cell r="E374">
            <v>1200317</v>
          </cell>
        </row>
        <row r="375">
          <cell r="E375">
            <v>1200318</v>
          </cell>
        </row>
        <row r="376">
          <cell r="E376">
            <v>1200319</v>
          </cell>
        </row>
        <row r="377">
          <cell r="E377">
            <v>1200320</v>
          </cell>
        </row>
        <row r="378">
          <cell r="E378">
            <v>1200321</v>
          </cell>
        </row>
        <row r="379">
          <cell r="E379">
            <v>1200322</v>
          </cell>
        </row>
        <row r="380">
          <cell r="E380">
            <v>1200323</v>
          </cell>
        </row>
        <row r="381">
          <cell r="E381">
            <v>1200331</v>
          </cell>
        </row>
        <row r="382">
          <cell r="E382">
            <v>1200333</v>
          </cell>
        </row>
        <row r="383">
          <cell r="E383">
            <v>1200401</v>
          </cell>
        </row>
        <row r="384">
          <cell r="E384">
            <v>1200492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otal"/>
      <sheetName val="Summary G400 v6"/>
      <sheetName val="Prod Info"/>
      <sheetName val="INFOAS"/>
    </sheetNames>
    <sheetDataSet>
      <sheetData sheetId="0" refreshError="1"/>
      <sheetData sheetId="1" refreshError="1">
        <row r="40">
          <cell r="E40">
            <v>9350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FS"/>
      <sheetName val="WS"/>
      <sheetName val="FORMAT 4"/>
      <sheetName val="DPS_DPT"/>
      <sheetName val="FORMAT 1"/>
      <sheetName val="FORMAT 3"/>
      <sheetName val="AJP"/>
      <sheetName val="EXPENSE"/>
      <sheetName val="TB"/>
      <sheetName val="BUDGET"/>
      <sheetName val="FORMAT 2"/>
      <sheetName val="Sheet1"/>
      <sheetName val="CASHFLOW"/>
    </sheetNames>
    <sheetDataSet>
      <sheetData sheetId="0"/>
      <sheetData sheetId="1"/>
      <sheetData sheetId="2"/>
      <sheetData sheetId="3">
        <row r="2">
          <cell r="AG2">
            <v>39051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mum"/>
      <sheetName val="Cover"/>
      <sheetName val="Validasi"/>
      <sheetName val="LKAJ"/>
      <sheetName val="LRKJ"/>
      <sheetName val="LAKS"/>
      <sheetName val="LPE"/>
      <sheetName val="Pemisahan"/>
      <sheetName val="Rasio Solvabilitas 1"/>
      <sheetName val="Rasio Solvabilitas 2"/>
      <sheetName val="Rasio Solvabilitas 3"/>
      <sheetName val="Risiko Kredit (a)"/>
      <sheetName val="Risiko Kredit (b)"/>
      <sheetName val="Risiko Likuiditas"/>
      <sheetName val="Risiko Pasar (a)"/>
      <sheetName val="Risiko Pasar (b)"/>
      <sheetName val="Risiko Pasar (c)"/>
      <sheetName val="Risiko Asuransi"/>
      <sheetName val="Risiko Opr"/>
      <sheetName val="Aset SAP"/>
      <sheetName val="Liabilitas SAP"/>
      <sheetName val="Sub A"/>
      <sheetName val="Sub B"/>
      <sheetName val="Sub C"/>
      <sheetName val="Sub D"/>
      <sheetName val="Sub E"/>
      <sheetName val="Rincian 101 Deposito"/>
      <sheetName val="Rincian 102 S. Deposito"/>
      <sheetName val="Rincian 103 Saham"/>
      <sheetName val="Rincian 104 Obligasi"/>
      <sheetName val="Rincian 105 Obligasi Daerah"/>
      <sheetName val="Rincian 106 MTN"/>
      <sheetName val="Rincian 107 SBN"/>
      <sheetName val="Rincian 108 SB Lain"/>
      <sheetName val="Rincian 109 SBI"/>
      <sheetName val="Rincian 110 SB LM"/>
      <sheetName val="Rincian 111 Reksa Dana"/>
      <sheetName val="Rincian 112 EBA"/>
      <sheetName val="Rincian 113 DIRE"/>
      <sheetName val="Rincian 114 DINFRA"/>
      <sheetName val="Rincian 115 REPO"/>
      <sheetName val="Rincian 116 PL"/>
      <sheetName val="Rincian 117 Properti"/>
      <sheetName val="Rincian 118 Pembiayaan"/>
      <sheetName val="Rincian 119 Emas Murni"/>
      <sheetName val="Rincian 120 Hipotik"/>
      <sheetName val="Rincian 121 Pinj Polis"/>
      <sheetName val="Rincian 121A Pinj Polis"/>
      <sheetName val="Rincian 122 Lain"/>
      <sheetName val="Rincian 201 Kas"/>
      <sheetName val="Rincian 202 Premi PL"/>
      <sheetName val="Rincian 202A"/>
      <sheetName val="Rincian 203 Premi Reas"/>
      <sheetName val="Rincian 203A Premi Reas"/>
      <sheetName val="Rincian 204 Aset Reas"/>
      <sheetName val="Rincian 205 Klaim Koas"/>
      <sheetName val="Rincian 205A Klaim Koas"/>
      <sheetName val="Rincian 206 Klaim Reas"/>
      <sheetName val="Rincian 206A Klaim Reas"/>
      <sheetName val="Rincian 207 Tagihan Inv"/>
      <sheetName val="Rincian 207A Tagihan Inv"/>
      <sheetName val="Rincian 208 Tag Hasil Inv"/>
      <sheetName val="Rincian 208A Tag Hasil Inv"/>
      <sheetName val="Rincian 209 Bangunan"/>
      <sheetName val="Rincian 210 DAC"/>
      <sheetName val="Rincian 211 Aset Tetap Lain"/>
      <sheetName val="Rincian 212 Aset Lain"/>
      <sheetName val="Rincian 301 Utang Klaim"/>
      <sheetName val="Rincian 302 Utang Koas"/>
      <sheetName val="Rincian 303 Utang Reas"/>
      <sheetName val="Rincian 304 Utang Komisi"/>
      <sheetName val="Rincian 305 Biaya Hrs Dibayar"/>
      <sheetName val="Rincian 306 Utang Lain"/>
      <sheetName val="Rincian 401 Cad Premi"/>
      <sheetName val="Rincian 402 CAPYBMP"/>
      <sheetName val="Rincian 403 Cad Klaim"/>
      <sheetName val="Rincian 404 Cad Risk"/>
      <sheetName val="Rincian 501 Pdpt Premi"/>
      <sheetName val="Rincian 502 Premi Klaim Region"/>
      <sheetName val="Rincian 503 Premi Reas"/>
      <sheetName val="Rincian 504 Hsl Investasi"/>
      <sheetName val="Rincian 505 Imbalan Jasa"/>
      <sheetName val="Rincian 506 Pdptan Lain"/>
      <sheetName val="Rincian 507 Beban As"/>
      <sheetName val="Rincian 508 OCI"/>
      <sheetName val="Rincian 601 A&amp;L Lancar"/>
      <sheetName val="Rincian 1101"/>
      <sheetName val="RIncian 1102"/>
      <sheetName val="Rincian 1103"/>
      <sheetName val="Rincian 1104"/>
      <sheetName val="Rincian 1105 MTN - PAYDI"/>
      <sheetName val="Rincian 1106"/>
      <sheetName val="Rincian 1107"/>
      <sheetName val="Rincian 1108"/>
      <sheetName val="Rincian 1109"/>
      <sheetName val="Rincian 1110"/>
      <sheetName val="Rincian 1111 EBA - PAYDI"/>
      <sheetName val="Rincian 1112"/>
      <sheetName val="Rincian 1113"/>
      <sheetName val="Rincian 1401"/>
      <sheetName val="Rincian 1501"/>
      <sheetName val="Rincian 1502"/>
      <sheetName val="Rincian 1503"/>
      <sheetName val="Premi Klaim Sektor Ekonomi"/>
      <sheetName val="Premi dan Klaim Per Mitra"/>
      <sheetName val="Cadangan Teknis Per Mitra"/>
      <sheetName val="Rasio Lain"/>
      <sheetName val="Rasio Lain (1)"/>
      <sheetName val="Biaya Diklat"/>
      <sheetName val="Rasio Diklat"/>
      <sheetName val="Rincian DC"/>
      <sheetName val="Lap Dana Jaminan"/>
      <sheetName val="Rincian DJ - Deposito"/>
      <sheetName val="Rincian DJ - SBN"/>
      <sheetName val="A1"/>
      <sheetName val="A2"/>
      <sheetName val="C1"/>
      <sheetName val="C2"/>
      <sheetName val="D1a"/>
      <sheetName val="D1b"/>
      <sheetName val="D1c"/>
      <sheetName val="D1d"/>
      <sheetName val="D1e"/>
      <sheetName val="D1f"/>
      <sheetName val="D2"/>
      <sheetName val="D3"/>
      <sheetName val="E"/>
      <sheetName val="Rincian SBN"/>
      <sheetName val="Kepemilikan asing"/>
      <sheetName val="% Kep 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WS"/>
      <sheetName val="EXPENSE"/>
      <sheetName val="AJP"/>
      <sheetName val="FORMAT 4"/>
      <sheetName val="FORMAT 3"/>
      <sheetName val="FS"/>
      <sheetName val="DPS_DPT"/>
      <sheetName val="FORMAT 1"/>
      <sheetName val="TB"/>
      <sheetName val="BUDGET"/>
      <sheetName val="FORMAT 2"/>
      <sheetName val="Sheet1"/>
      <sheetName val="CASHFLOW"/>
      <sheetName val="RBC_rinci"/>
      <sheetName val="FORMAT_4"/>
      <sheetName val="FORMAT_3"/>
      <sheetName val="FORMAT_1"/>
      <sheetName val="FORMAT_2"/>
    </sheetNames>
    <sheetDataSet>
      <sheetData sheetId="0"/>
      <sheetData sheetId="1">
        <row r="11">
          <cell r="H11">
            <v>56069444</v>
          </cell>
        </row>
      </sheetData>
      <sheetData sheetId="2"/>
      <sheetData sheetId="3" refreshError="1">
        <row r="2">
          <cell r="AG2">
            <v>39021</v>
          </cell>
        </row>
      </sheetData>
      <sheetData sheetId="4"/>
      <sheetData sheetId="5"/>
      <sheetData sheetId="6" refreshError="1">
        <row r="11">
          <cell r="H11">
            <v>56069444</v>
          </cell>
        </row>
        <row r="12">
          <cell r="H12">
            <v>163312500</v>
          </cell>
        </row>
        <row r="13">
          <cell r="H13">
            <v>21820345.280000687</v>
          </cell>
        </row>
        <row r="16">
          <cell r="H16">
            <v>200000000</v>
          </cell>
        </row>
        <row r="19">
          <cell r="H19">
            <v>571068249</v>
          </cell>
        </row>
        <row r="28">
          <cell r="H28">
            <v>658804169</v>
          </cell>
        </row>
        <row r="32">
          <cell r="H32">
            <v>1916978</v>
          </cell>
        </row>
        <row r="35">
          <cell r="H35">
            <v>724615.8</v>
          </cell>
        </row>
        <row r="38">
          <cell r="H38">
            <v>724615.8</v>
          </cell>
        </row>
        <row r="41">
          <cell r="H41">
            <v>500000000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685000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3039600000</v>
          </cell>
        </row>
        <row r="51">
          <cell r="H51">
            <v>2026400000</v>
          </cell>
        </row>
        <row r="52">
          <cell r="H52">
            <v>66038163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92731250</v>
          </cell>
        </row>
        <row r="57">
          <cell r="H57">
            <v>9023906</v>
          </cell>
        </row>
        <row r="60">
          <cell r="H60">
            <v>95237500</v>
          </cell>
        </row>
        <row r="64">
          <cell r="H64">
            <v>5050378</v>
          </cell>
        </row>
        <row r="65">
          <cell r="H65">
            <v>891243</v>
          </cell>
        </row>
        <row r="68">
          <cell r="H68">
            <v>5315609.28</v>
          </cell>
        </row>
        <row r="71">
          <cell r="H71">
            <v>505932.79999999999</v>
          </cell>
        </row>
        <row r="72">
          <cell r="H72">
            <v>24500000</v>
          </cell>
        </row>
        <row r="73">
          <cell r="H73">
            <v>17666672</v>
          </cell>
        </row>
        <row r="76">
          <cell r="H76">
            <v>30000</v>
          </cell>
        </row>
        <row r="79">
          <cell r="H79">
            <v>745189481.79531097</v>
          </cell>
        </row>
        <row r="84">
          <cell r="H84">
            <v>64078356.064239502</v>
          </cell>
        </row>
        <row r="85">
          <cell r="H85">
            <v>8055389.0442853896</v>
          </cell>
        </row>
        <row r="86">
          <cell r="H86">
            <v>81866254.891475096</v>
          </cell>
        </row>
        <row r="89">
          <cell r="H89">
            <v>1250660135</v>
          </cell>
        </row>
        <row r="92">
          <cell r="H92">
            <v>2073034126</v>
          </cell>
        </row>
        <row r="95">
          <cell r="H95">
            <v>3289205355</v>
          </cell>
        </row>
        <row r="98">
          <cell r="H98">
            <v>475808847.86000001</v>
          </cell>
        </row>
        <row r="101">
          <cell r="H101">
            <v>2635201185.0599976</v>
          </cell>
        </row>
        <row r="104">
          <cell r="H104">
            <v>814593761.72999954</v>
          </cell>
        </row>
        <row r="107">
          <cell r="H107">
            <v>285362122.09000397</v>
          </cell>
        </row>
        <row r="111">
          <cell r="H111">
            <v>42878930.719999313</v>
          </cell>
        </row>
        <row r="112">
          <cell r="H112">
            <v>25496210.920000076</v>
          </cell>
        </row>
        <row r="113">
          <cell r="H113">
            <v>100206581</v>
          </cell>
        </row>
        <row r="116">
          <cell r="H116">
            <v>2030946123</v>
          </cell>
        </row>
        <row r="121">
          <cell r="H121">
            <v>402511200</v>
          </cell>
        </row>
        <row r="122">
          <cell r="H122">
            <v>181130040</v>
          </cell>
        </row>
        <row r="123">
          <cell r="H123">
            <v>7021000</v>
          </cell>
        </row>
        <row r="124">
          <cell r="H124">
            <v>70978800</v>
          </cell>
        </row>
        <row r="125">
          <cell r="H125">
            <v>61740000</v>
          </cell>
        </row>
        <row r="128">
          <cell r="H128">
            <v>167000000</v>
          </cell>
        </row>
        <row r="131">
          <cell r="H131">
            <v>250000000</v>
          </cell>
        </row>
        <row r="134">
          <cell r="H134">
            <v>1667047541</v>
          </cell>
        </row>
        <row r="137">
          <cell r="H137">
            <v>1116262853.1044641</v>
          </cell>
        </row>
        <row r="140">
          <cell r="H140">
            <v>300000000</v>
          </cell>
        </row>
        <row r="143">
          <cell r="H143">
            <v>444963161</v>
          </cell>
        </row>
        <row r="146">
          <cell r="H146">
            <v>775699922.39999998</v>
          </cell>
        </row>
        <row r="149">
          <cell r="H149">
            <v>1497510520</v>
          </cell>
        </row>
        <row r="152">
          <cell r="H152">
            <v>848600506.58752847</v>
          </cell>
        </row>
        <row r="155">
          <cell r="H155">
            <v>300000000</v>
          </cell>
        </row>
        <row r="156">
          <cell r="H156">
            <v>5551927</v>
          </cell>
        </row>
        <row r="159">
          <cell r="H159">
            <v>52975519</v>
          </cell>
        </row>
        <row r="162">
          <cell r="H162">
            <v>3358351270.9795732</v>
          </cell>
        </row>
        <row r="165">
          <cell r="H165">
            <v>60413889</v>
          </cell>
        </row>
        <row r="168">
          <cell r="H168">
            <v>11345300</v>
          </cell>
        </row>
        <row r="171">
          <cell r="H171">
            <v>524459</v>
          </cell>
        </row>
        <row r="174">
          <cell r="H174">
            <v>11719741</v>
          </cell>
        </row>
        <row r="177">
          <cell r="H177">
            <v>661346766</v>
          </cell>
        </row>
        <row r="180">
          <cell r="H180">
            <v>3759321483.1386495</v>
          </cell>
        </row>
        <row r="183">
          <cell r="H183">
            <v>116483333</v>
          </cell>
        </row>
        <row r="186">
          <cell r="H186">
            <v>10670300</v>
          </cell>
        </row>
        <row r="189">
          <cell r="H189">
            <v>1613549.6855359972</v>
          </cell>
        </row>
        <row r="192">
          <cell r="H192">
            <v>39104741</v>
          </cell>
        </row>
        <row r="195">
          <cell r="H195">
            <v>668067441</v>
          </cell>
        </row>
        <row r="198">
          <cell r="H198">
            <v>176566870</v>
          </cell>
        </row>
        <row r="201">
          <cell r="H201">
            <v>1189500</v>
          </cell>
        </row>
        <row r="204">
          <cell r="H204">
            <v>56151757</v>
          </cell>
        </row>
        <row r="207">
          <cell r="H207">
            <v>187693951</v>
          </cell>
        </row>
        <row r="222">
          <cell r="H222">
            <v>1624199713</v>
          </cell>
        </row>
        <row r="223">
          <cell r="H223">
            <v>1537353009</v>
          </cell>
        </row>
        <row r="224">
          <cell r="H224">
            <v>905394885</v>
          </cell>
        </row>
        <row r="225">
          <cell r="H225">
            <v>284047173</v>
          </cell>
        </row>
        <row r="226">
          <cell r="H226">
            <v>275833333</v>
          </cell>
        </row>
        <row r="227">
          <cell r="H227">
            <v>200000000</v>
          </cell>
        </row>
        <row r="228">
          <cell r="H228">
            <v>97889291</v>
          </cell>
        </row>
        <row r="229">
          <cell r="H229">
            <v>90585295</v>
          </cell>
        </row>
        <row r="230">
          <cell r="H230">
            <v>86142709</v>
          </cell>
        </row>
        <row r="231">
          <cell r="H231">
            <v>75906540</v>
          </cell>
        </row>
        <row r="232">
          <cell r="H232">
            <v>22363362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RMAT 3"/>
      <sheetName val="AJP"/>
      <sheetName val="EXPENSE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"/>
      <sheetName val="RBC"/>
      <sheetName val="RBC rinci"/>
      <sheetName val="MENU"/>
      <sheetName val="WS"/>
      <sheetName val="FS"/>
      <sheetName val="FORMAT 4"/>
      <sheetName val="DPS_DPT"/>
      <sheetName val="FORMAT 1"/>
      <sheetName val="FORMAT 3"/>
      <sheetName val="AJP"/>
      <sheetName val="EXPENSE"/>
      <sheetName val="TB"/>
      <sheetName val="BUDGET"/>
      <sheetName val="FORMAT 2"/>
      <sheetName val="Sheet1"/>
      <sheetName val="CASHFLOW"/>
      <sheetName val="RBC_rinci"/>
      <sheetName val="FORMAT_4"/>
      <sheetName val="FORMAT_1"/>
      <sheetName val="FORMAT_3"/>
      <sheetName val="FORMAT_2"/>
    </sheetNames>
    <sheetDataSet>
      <sheetData sheetId="0"/>
      <sheetData sheetId="1"/>
      <sheetData sheetId="2"/>
      <sheetData sheetId="3" refreshError="1">
        <row r="2">
          <cell r="AG2">
            <v>39051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 (2)"/>
      <sheetName val="Neraca"/>
      <sheetName val="RBC-Syariah"/>
      <sheetName val="RBC-Konvensional"/>
      <sheetName val="RBC"/>
      <sheetName val="Profit Loss"/>
      <sheetName val="var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1000000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Data"/>
      <sheetName val="Sum Insured"/>
      <sheetName val="Reserves"/>
      <sheetName val="Case count"/>
      <sheetName val="base1204"/>
      <sheetName val="Ind_Case"/>
      <sheetName val="Reinsurance"/>
      <sheetName val="PI-Total"/>
      <sheetName val="PI-SP"/>
      <sheetName val="PI-RPU"/>
      <sheetName val="PI-Act"/>
      <sheetName val="PI"/>
      <sheetName val="ex PI"/>
      <sheetName val="IBNR"/>
      <sheetName val="IBNR Hystory"/>
      <sheetName val="Ind"/>
      <sheetName val="Ind-Rider"/>
      <sheetName val="Group"/>
      <sheetName val="Summary"/>
      <sheetName val="B"/>
      <sheetName val="C"/>
      <sheetName val="D"/>
      <sheetName val="E"/>
    </sheetNames>
    <sheetDataSet>
      <sheetData sheetId="0" refreshError="1">
        <row r="5">
          <cell r="C5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ivot_Local1205"/>
      <sheetName val="Data"/>
      <sheetName val="LOANBAL1205"/>
      <sheetName val="AMP"/>
      <sheetName val="GroupSaving"/>
      <sheetName val="Group"/>
      <sheetName val="PI_1205"/>
      <sheetName val="M Link &amp; M Investa 1205"/>
      <sheetName val="12.05"/>
      <sheetName val="OLI"/>
      <sheetName val="PI"/>
      <sheetName val="IBNR Hy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7"/>
  <sheetViews>
    <sheetView showGridLines="0" workbookViewId="0">
      <selection activeCell="D16" sqref="D16"/>
    </sheetView>
  </sheetViews>
  <sheetFormatPr defaultRowHeight="15"/>
  <cols>
    <col min="1" max="1" width="9.140625" style="1" customWidth="1"/>
    <col min="2" max="2" width="1" style="1" customWidth="1"/>
    <col min="3" max="3" width="35" style="1" customWidth="1"/>
    <col min="4" max="4" width="42" style="1" customWidth="1"/>
    <col min="5" max="5" width="1" style="1" customWidth="1"/>
    <col min="6" max="6" width="9.140625" style="1" customWidth="1"/>
    <col min="7" max="9" width="9.140625" style="1" hidden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0</v>
      </c>
      <c r="C2" s="2"/>
      <c r="D2" s="2"/>
      <c r="E2" s="2"/>
    </row>
    <row r="3" spans="2:9" ht="21">
      <c r="B3" s="9" t="s">
        <v>1</v>
      </c>
      <c r="C3" s="3" t="s">
        <v>2</v>
      </c>
      <c r="D3" s="2"/>
      <c r="E3" s="2"/>
      <c r="G3" s="8">
        <f>MONTH(D11)</f>
        <v>1</v>
      </c>
      <c r="H3" s="8">
        <v>1</v>
      </c>
      <c r="I3" s="8" t="s">
        <v>3</v>
      </c>
    </row>
    <row r="4" spans="2:9">
      <c r="B4" s="9" t="s">
        <v>4</v>
      </c>
      <c r="C4" s="4" t="s">
        <v>5</v>
      </c>
      <c r="D4" s="4" t="s">
        <v>6</v>
      </c>
      <c r="E4" s="2"/>
      <c r="G4" s="8" t="str">
        <f>VLOOKUP(G3,$H$3:$I$14,2,FALSE)</f>
        <v>Januari</v>
      </c>
      <c r="H4" s="8">
        <v>2</v>
      </c>
      <c r="I4" s="8" t="s">
        <v>7</v>
      </c>
    </row>
    <row r="5" spans="2:9">
      <c r="B5" s="9" t="s">
        <v>8</v>
      </c>
      <c r="C5" s="4" t="s">
        <v>9</v>
      </c>
      <c r="D5" s="6"/>
      <c r="E5" s="2"/>
      <c r="H5" s="8">
        <v>3</v>
      </c>
      <c r="I5" s="8" t="s">
        <v>10</v>
      </c>
    </row>
    <row r="6" spans="2:9">
      <c r="B6" s="9" t="s">
        <v>11</v>
      </c>
      <c r="C6" s="4" t="s">
        <v>12</v>
      </c>
      <c r="D6" s="5"/>
      <c r="E6" s="2"/>
      <c r="H6" s="8">
        <v>4</v>
      </c>
      <c r="I6" s="8" t="s">
        <v>13</v>
      </c>
    </row>
    <row r="7" spans="2:9">
      <c r="B7" s="2"/>
      <c r="C7" s="4" t="s">
        <v>14</v>
      </c>
      <c r="D7" s="5"/>
      <c r="E7" s="2"/>
      <c r="H7" s="8">
        <v>5</v>
      </c>
      <c r="I7" s="8" t="s">
        <v>15</v>
      </c>
    </row>
    <row r="8" spans="2:9">
      <c r="B8" s="2"/>
      <c r="C8" s="26" t="s">
        <v>16</v>
      </c>
      <c r="D8" s="5"/>
      <c r="E8" s="2"/>
      <c r="H8" s="8">
        <v>6</v>
      </c>
      <c r="I8" s="8" t="s">
        <v>17</v>
      </c>
    </row>
    <row r="9" spans="2:9">
      <c r="B9" s="2"/>
      <c r="C9" s="27" t="s">
        <v>16</v>
      </c>
      <c r="D9" s="5"/>
      <c r="E9" s="2"/>
      <c r="H9" s="8">
        <v>7</v>
      </c>
      <c r="I9" s="8" t="s">
        <v>18</v>
      </c>
    </row>
    <row r="10" spans="2:9">
      <c r="B10" s="2"/>
      <c r="C10" s="27" t="s">
        <v>16</v>
      </c>
      <c r="D10" s="5"/>
      <c r="E10" s="2"/>
      <c r="H10" s="8">
        <v>8</v>
      </c>
      <c r="I10" s="8" t="s">
        <v>19</v>
      </c>
    </row>
    <row r="11" spans="2:9">
      <c r="B11" s="2"/>
      <c r="C11" s="4" t="s">
        <v>20</v>
      </c>
      <c r="D11" s="6"/>
      <c r="E11" s="2"/>
      <c r="H11" s="8">
        <v>9</v>
      </c>
      <c r="I11" s="8" t="s">
        <v>21</v>
      </c>
    </row>
    <row r="12" spans="2:9">
      <c r="B12" s="2"/>
      <c r="C12" s="4" t="s">
        <v>22</v>
      </c>
      <c r="D12" s="4" t="str">
        <f>IF(ISERR(G4), "", G4)</f>
        <v>Januari</v>
      </c>
      <c r="E12" s="2"/>
      <c r="H12" s="8">
        <v>10</v>
      </c>
      <c r="I12" s="8" t="s">
        <v>23</v>
      </c>
    </row>
    <row r="13" spans="2:9">
      <c r="B13" s="2"/>
      <c r="C13" s="4" t="s">
        <v>24</v>
      </c>
      <c r="D13" s="7" t="str">
        <f>IF(ISBLANK(D11), "", IFERROR(YEAR(D11), ""))</f>
        <v/>
      </c>
      <c r="E13" s="2"/>
      <c r="H13" s="8">
        <v>11</v>
      </c>
      <c r="I13" s="8" t="s">
        <v>25</v>
      </c>
    </row>
    <row r="14" spans="2:9">
      <c r="B14" s="2"/>
      <c r="C14" s="4" t="s">
        <v>26</v>
      </c>
      <c r="D14" s="4" t="s">
        <v>27</v>
      </c>
      <c r="E14" s="2"/>
      <c r="H14" s="8">
        <v>12</v>
      </c>
      <c r="I14" s="8" t="s">
        <v>28</v>
      </c>
    </row>
    <row r="15" spans="2:9">
      <c r="B15" s="2"/>
      <c r="C15" s="4" t="s">
        <v>29</v>
      </c>
      <c r="D15" s="5"/>
      <c r="E15" s="2"/>
    </row>
    <row r="16" spans="2:9">
      <c r="B16" s="2"/>
      <c r="C16" s="4" t="s">
        <v>30</v>
      </c>
      <c r="D16" s="5"/>
      <c r="E16" s="2"/>
    </row>
    <row r="17" spans="2:5" ht="5.0999999999999996" customHeight="1">
      <c r="B17" s="2"/>
      <c r="C17" s="2"/>
      <c r="D17" s="2"/>
      <c r="E17" s="2"/>
    </row>
  </sheetData>
  <sheetProtection sheet="1" formatColumns="0" formatRows="0" selectLockedCells="1"/>
  <mergeCells count="1">
    <mergeCell ref="C8:C10"/>
  </mergeCells>
  <dataValidations count="2">
    <dataValidation type="date" showErrorMessage="1" errorTitle="Kesalahan Jenis Data" error="Data yang dimasukkan harus berupa tanggal!" sqref="D5">
      <formula1>0</formula1>
      <formula2>2958465.99999999</formula2>
    </dataValidation>
    <dataValidation type="date" showErrorMessage="1" errorTitle="Kesalahan Jenis Data" error="Data yang dimasukkan harus berupa tanggal!" sqref="D11">
      <formula1>0</formula1>
      <formula2>2958465.99999999</formula2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230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231</v>
      </c>
      <c r="D9" s="46"/>
      <c r="E9" s="46"/>
      <c r="F9" s="46"/>
      <c r="G9" s="46"/>
      <c r="H9" s="46"/>
      <c r="I9" s="2"/>
    </row>
    <row r="10" spans="2:9">
      <c r="B10" s="2"/>
      <c r="C10" s="46"/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 t="s">
        <v>232</v>
      </c>
      <c r="D13" s="48"/>
      <c r="E13" s="48"/>
      <c r="F13" s="48"/>
      <c r="G13" s="48"/>
      <c r="H13" s="48"/>
      <c r="I13" s="2"/>
    </row>
    <row r="14" spans="2:9">
      <c r="B14" s="2"/>
      <c r="C14" s="40" t="s">
        <v>126</v>
      </c>
      <c r="D14" s="38"/>
      <c r="E14" s="43" t="str">
        <f>"Uraian"</f>
        <v>Uraian</v>
      </c>
      <c r="F14" s="40" t="str">
        <f>"Biaya Pendidikan dan Pelatihan"</f>
        <v>Biaya Pendidikan dan Pelatihan</v>
      </c>
      <c r="G14" s="54"/>
      <c r="H14" s="38"/>
      <c r="I14" s="2"/>
    </row>
    <row r="15" spans="2:9">
      <c r="B15" s="2"/>
      <c r="C15" s="41"/>
      <c r="D15" s="42"/>
      <c r="E15" s="43" t="str">
        <f>""</f>
        <v/>
      </c>
      <c r="F15" s="43" t="str">
        <f>"Anggaran"</f>
        <v>Anggaran</v>
      </c>
      <c r="G15" s="43" t="str">
        <f>"Realisasi"</f>
        <v>Realisasi</v>
      </c>
      <c r="H15" s="43" t="str">
        <f>"Persentase"</f>
        <v>Persentase</v>
      </c>
      <c r="I15" s="2"/>
    </row>
    <row r="16" spans="2:9">
      <c r="B16" s="2"/>
      <c r="C16" s="37" t="s">
        <v>8</v>
      </c>
      <c r="D16" s="38"/>
      <c r="E16" s="34" t="s">
        <v>103</v>
      </c>
      <c r="F16" s="51">
        <v>0</v>
      </c>
      <c r="G16" s="51">
        <v>0</v>
      </c>
      <c r="H16" s="17">
        <f t="shared" ref="H16:H47" si="0">IFERROR(G16/F16,0)</f>
        <v>0</v>
      </c>
      <c r="I16" s="2"/>
    </row>
    <row r="17" spans="2:9">
      <c r="B17" s="2"/>
      <c r="C17" s="37" t="s">
        <v>127</v>
      </c>
      <c r="D17" s="38"/>
      <c r="E17" s="34" t="s">
        <v>103</v>
      </c>
      <c r="F17" s="51">
        <v>0</v>
      </c>
      <c r="G17" s="51">
        <v>0</v>
      </c>
      <c r="H17" s="17">
        <f t="shared" si="0"/>
        <v>0</v>
      </c>
      <c r="I17" s="2"/>
    </row>
    <row r="18" spans="2:9">
      <c r="B18" s="2"/>
      <c r="C18" s="37" t="s">
        <v>128</v>
      </c>
      <c r="D18" s="38"/>
      <c r="E18" s="34" t="s">
        <v>103</v>
      </c>
      <c r="F18" s="51">
        <v>0</v>
      </c>
      <c r="G18" s="51">
        <v>0</v>
      </c>
      <c r="H18" s="17">
        <f t="shared" si="0"/>
        <v>0</v>
      </c>
      <c r="I18" s="2"/>
    </row>
    <row r="19" spans="2:9">
      <c r="B19" s="2"/>
      <c r="C19" s="37" t="s">
        <v>129</v>
      </c>
      <c r="D19" s="38"/>
      <c r="E19" s="34" t="s">
        <v>103</v>
      </c>
      <c r="F19" s="51">
        <v>0</v>
      </c>
      <c r="G19" s="51">
        <v>0</v>
      </c>
      <c r="H19" s="17">
        <f t="shared" si="0"/>
        <v>0</v>
      </c>
      <c r="I19" s="2"/>
    </row>
    <row r="20" spans="2:9">
      <c r="B20" s="2"/>
      <c r="C20" s="37" t="s">
        <v>130</v>
      </c>
      <c r="D20" s="38"/>
      <c r="E20" s="34" t="s">
        <v>103</v>
      </c>
      <c r="F20" s="51">
        <v>0</v>
      </c>
      <c r="G20" s="51">
        <v>0</v>
      </c>
      <c r="H20" s="17">
        <f t="shared" si="0"/>
        <v>0</v>
      </c>
      <c r="I20" s="2"/>
    </row>
    <row r="21" spans="2:9">
      <c r="B21" s="2"/>
      <c r="C21" s="37" t="s">
        <v>131</v>
      </c>
      <c r="D21" s="38"/>
      <c r="E21" s="34" t="s">
        <v>103</v>
      </c>
      <c r="F21" s="51">
        <v>0</v>
      </c>
      <c r="G21" s="51">
        <v>0</v>
      </c>
      <c r="H21" s="17">
        <f t="shared" si="0"/>
        <v>0</v>
      </c>
      <c r="I21" s="2"/>
    </row>
    <row r="22" spans="2:9">
      <c r="B22" s="2"/>
      <c r="C22" s="37" t="s">
        <v>132</v>
      </c>
      <c r="D22" s="38"/>
      <c r="E22" s="34" t="s">
        <v>103</v>
      </c>
      <c r="F22" s="51">
        <v>0</v>
      </c>
      <c r="G22" s="51">
        <v>0</v>
      </c>
      <c r="H22" s="17">
        <f t="shared" si="0"/>
        <v>0</v>
      </c>
      <c r="I22" s="2"/>
    </row>
    <row r="23" spans="2:9">
      <c r="B23" s="2"/>
      <c r="C23" s="37" t="s">
        <v>133</v>
      </c>
      <c r="D23" s="38"/>
      <c r="E23" s="34" t="s">
        <v>103</v>
      </c>
      <c r="F23" s="51">
        <v>0</v>
      </c>
      <c r="G23" s="51">
        <v>0</v>
      </c>
      <c r="H23" s="17">
        <f t="shared" si="0"/>
        <v>0</v>
      </c>
      <c r="I23" s="2"/>
    </row>
    <row r="24" spans="2:9">
      <c r="B24" s="2"/>
      <c r="C24" s="37" t="s">
        <v>134</v>
      </c>
      <c r="D24" s="38"/>
      <c r="E24" s="34" t="s">
        <v>103</v>
      </c>
      <c r="F24" s="51">
        <v>0</v>
      </c>
      <c r="G24" s="51">
        <v>0</v>
      </c>
      <c r="H24" s="17">
        <f t="shared" si="0"/>
        <v>0</v>
      </c>
      <c r="I24" s="2"/>
    </row>
    <row r="25" spans="2:9">
      <c r="B25" s="2"/>
      <c r="C25" s="37" t="s">
        <v>135</v>
      </c>
      <c r="D25" s="38"/>
      <c r="E25" s="34" t="s">
        <v>103</v>
      </c>
      <c r="F25" s="51">
        <v>0</v>
      </c>
      <c r="G25" s="51">
        <v>0</v>
      </c>
      <c r="H25" s="17">
        <f t="shared" si="0"/>
        <v>0</v>
      </c>
      <c r="I25" s="2"/>
    </row>
    <row r="26" spans="2:9">
      <c r="B26" s="2"/>
      <c r="C26" s="37" t="s">
        <v>136</v>
      </c>
      <c r="D26" s="38"/>
      <c r="E26" s="34" t="s">
        <v>103</v>
      </c>
      <c r="F26" s="51">
        <v>0</v>
      </c>
      <c r="G26" s="51">
        <v>0</v>
      </c>
      <c r="H26" s="17">
        <f t="shared" si="0"/>
        <v>0</v>
      </c>
      <c r="I26" s="2"/>
    </row>
    <row r="27" spans="2:9">
      <c r="B27" s="2"/>
      <c r="C27" s="37" t="s">
        <v>137</v>
      </c>
      <c r="D27" s="38"/>
      <c r="E27" s="34" t="s">
        <v>103</v>
      </c>
      <c r="F27" s="51">
        <v>0</v>
      </c>
      <c r="G27" s="51">
        <v>0</v>
      </c>
      <c r="H27" s="17">
        <f t="shared" si="0"/>
        <v>0</v>
      </c>
      <c r="I27" s="2"/>
    </row>
    <row r="28" spans="2:9">
      <c r="B28" s="2"/>
      <c r="C28" s="37" t="s">
        <v>138</v>
      </c>
      <c r="D28" s="38"/>
      <c r="E28" s="34" t="s">
        <v>103</v>
      </c>
      <c r="F28" s="51">
        <v>0</v>
      </c>
      <c r="G28" s="51">
        <v>0</v>
      </c>
      <c r="H28" s="17">
        <f t="shared" si="0"/>
        <v>0</v>
      </c>
      <c r="I28" s="2"/>
    </row>
    <row r="29" spans="2:9">
      <c r="B29" s="2"/>
      <c r="C29" s="37" t="s">
        <v>139</v>
      </c>
      <c r="D29" s="38"/>
      <c r="E29" s="34" t="s">
        <v>103</v>
      </c>
      <c r="F29" s="51">
        <v>0</v>
      </c>
      <c r="G29" s="51">
        <v>0</v>
      </c>
      <c r="H29" s="17">
        <f t="shared" si="0"/>
        <v>0</v>
      </c>
      <c r="I29" s="2"/>
    </row>
    <row r="30" spans="2:9">
      <c r="B30" s="2"/>
      <c r="C30" s="37" t="s">
        <v>140</v>
      </c>
      <c r="D30" s="38"/>
      <c r="E30" s="34" t="s">
        <v>103</v>
      </c>
      <c r="F30" s="51">
        <v>0</v>
      </c>
      <c r="G30" s="51">
        <v>0</v>
      </c>
      <c r="H30" s="17">
        <f t="shared" si="0"/>
        <v>0</v>
      </c>
      <c r="I30" s="2"/>
    </row>
    <row r="31" spans="2:9">
      <c r="B31" s="2"/>
      <c r="C31" s="37" t="s">
        <v>141</v>
      </c>
      <c r="D31" s="38"/>
      <c r="E31" s="34" t="s">
        <v>103</v>
      </c>
      <c r="F31" s="51">
        <v>0</v>
      </c>
      <c r="G31" s="51">
        <v>0</v>
      </c>
      <c r="H31" s="17">
        <f t="shared" si="0"/>
        <v>0</v>
      </c>
      <c r="I31" s="2"/>
    </row>
    <row r="32" spans="2:9">
      <c r="B32" s="2"/>
      <c r="C32" s="37" t="s">
        <v>142</v>
      </c>
      <c r="D32" s="38"/>
      <c r="E32" s="34" t="s">
        <v>103</v>
      </c>
      <c r="F32" s="51">
        <v>0</v>
      </c>
      <c r="G32" s="51">
        <v>0</v>
      </c>
      <c r="H32" s="17">
        <f t="shared" si="0"/>
        <v>0</v>
      </c>
      <c r="I32" s="2"/>
    </row>
    <row r="33" spans="2:9">
      <c r="B33" s="2"/>
      <c r="C33" s="37" t="s">
        <v>143</v>
      </c>
      <c r="D33" s="38"/>
      <c r="E33" s="34" t="s">
        <v>103</v>
      </c>
      <c r="F33" s="51">
        <v>0</v>
      </c>
      <c r="G33" s="51">
        <v>0</v>
      </c>
      <c r="H33" s="17">
        <f t="shared" si="0"/>
        <v>0</v>
      </c>
      <c r="I33" s="2"/>
    </row>
    <row r="34" spans="2:9">
      <c r="B34" s="2"/>
      <c r="C34" s="37" t="s">
        <v>144</v>
      </c>
      <c r="D34" s="38"/>
      <c r="E34" s="34" t="s">
        <v>103</v>
      </c>
      <c r="F34" s="51">
        <v>0</v>
      </c>
      <c r="G34" s="51">
        <v>0</v>
      </c>
      <c r="H34" s="17">
        <f t="shared" si="0"/>
        <v>0</v>
      </c>
      <c r="I34" s="2"/>
    </row>
    <row r="35" spans="2:9">
      <c r="B35" s="2"/>
      <c r="C35" s="37" t="s">
        <v>145</v>
      </c>
      <c r="D35" s="38"/>
      <c r="E35" s="34" t="s">
        <v>103</v>
      </c>
      <c r="F35" s="51">
        <v>0</v>
      </c>
      <c r="G35" s="51">
        <v>0</v>
      </c>
      <c r="H35" s="17">
        <f t="shared" si="0"/>
        <v>0</v>
      </c>
      <c r="I35" s="2"/>
    </row>
    <row r="36" spans="2:9">
      <c r="B36" s="2"/>
      <c r="C36" s="37" t="s">
        <v>146</v>
      </c>
      <c r="D36" s="38"/>
      <c r="E36" s="34" t="s">
        <v>103</v>
      </c>
      <c r="F36" s="51">
        <v>0</v>
      </c>
      <c r="G36" s="51">
        <v>0</v>
      </c>
      <c r="H36" s="17">
        <f t="shared" si="0"/>
        <v>0</v>
      </c>
      <c r="I36" s="2"/>
    </row>
    <row r="37" spans="2:9">
      <c r="B37" s="2"/>
      <c r="C37" s="37" t="s">
        <v>147</v>
      </c>
      <c r="D37" s="38"/>
      <c r="E37" s="34" t="s">
        <v>103</v>
      </c>
      <c r="F37" s="51">
        <v>0</v>
      </c>
      <c r="G37" s="51">
        <v>0</v>
      </c>
      <c r="H37" s="17">
        <f t="shared" si="0"/>
        <v>0</v>
      </c>
      <c r="I37" s="2"/>
    </row>
    <row r="38" spans="2:9">
      <c r="B38" s="2"/>
      <c r="C38" s="37" t="s">
        <v>148</v>
      </c>
      <c r="D38" s="38"/>
      <c r="E38" s="34" t="s">
        <v>103</v>
      </c>
      <c r="F38" s="51">
        <v>0</v>
      </c>
      <c r="G38" s="51">
        <v>0</v>
      </c>
      <c r="H38" s="17">
        <f t="shared" si="0"/>
        <v>0</v>
      </c>
      <c r="I38" s="2"/>
    </row>
    <row r="39" spans="2:9">
      <c r="B39" s="2"/>
      <c r="C39" s="37" t="s">
        <v>149</v>
      </c>
      <c r="D39" s="38"/>
      <c r="E39" s="34" t="s">
        <v>103</v>
      </c>
      <c r="F39" s="51">
        <v>0</v>
      </c>
      <c r="G39" s="51">
        <v>0</v>
      </c>
      <c r="H39" s="17">
        <f t="shared" si="0"/>
        <v>0</v>
      </c>
      <c r="I39" s="2"/>
    </row>
    <row r="40" spans="2:9">
      <c r="B40" s="2"/>
      <c r="C40" s="37" t="s">
        <v>150</v>
      </c>
      <c r="D40" s="38"/>
      <c r="E40" s="34" t="s">
        <v>103</v>
      </c>
      <c r="F40" s="51">
        <v>0</v>
      </c>
      <c r="G40" s="51">
        <v>0</v>
      </c>
      <c r="H40" s="17">
        <f t="shared" si="0"/>
        <v>0</v>
      </c>
      <c r="I40" s="2"/>
    </row>
    <row r="41" spans="2:9">
      <c r="B41" s="2"/>
      <c r="C41" s="37" t="s">
        <v>151</v>
      </c>
      <c r="D41" s="38"/>
      <c r="E41" s="34" t="s">
        <v>103</v>
      </c>
      <c r="F41" s="51">
        <v>0</v>
      </c>
      <c r="G41" s="51">
        <v>0</v>
      </c>
      <c r="H41" s="17">
        <f t="shared" si="0"/>
        <v>0</v>
      </c>
      <c r="I41" s="2"/>
    </row>
    <row r="42" spans="2:9">
      <c r="B42" s="2"/>
      <c r="C42" s="37" t="s">
        <v>152</v>
      </c>
      <c r="D42" s="38"/>
      <c r="E42" s="34" t="s">
        <v>103</v>
      </c>
      <c r="F42" s="51">
        <v>0</v>
      </c>
      <c r="G42" s="51">
        <v>0</v>
      </c>
      <c r="H42" s="17">
        <f t="shared" si="0"/>
        <v>0</v>
      </c>
      <c r="I42" s="2"/>
    </row>
    <row r="43" spans="2:9">
      <c r="B43" s="2"/>
      <c r="C43" s="37" t="s">
        <v>153</v>
      </c>
      <c r="D43" s="38"/>
      <c r="E43" s="34" t="s">
        <v>103</v>
      </c>
      <c r="F43" s="51">
        <v>0</v>
      </c>
      <c r="G43" s="51">
        <v>0</v>
      </c>
      <c r="H43" s="17">
        <f t="shared" si="0"/>
        <v>0</v>
      </c>
      <c r="I43" s="2"/>
    </row>
    <row r="44" spans="2:9">
      <c r="B44" s="2"/>
      <c r="C44" s="37" t="s">
        <v>154</v>
      </c>
      <c r="D44" s="38"/>
      <c r="E44" s="34" t="s">
        <v>103</v>
      </c>
      <c r="F44" s="51">
        <v>0</v>
      </c>
      <c r="G44" s="51">
        <v>0</v>
      </c>
      <c r="H44" s="17">
        <f t="shared" si="0"/>
        <v>0</v>
      </c>
      <c r="I44" s="2"/>
    </row>
    <row r="45" spans="2:9">
      <c r="B45" s="2"/>
      <c r="C45" s="37" t="s">
        <v>155</v>
      </c>
      <c r="D45" s="38"/>
      <c r="E45" s="34" t="s">
        <v>103</v>
      </c>
      <c r="F45" s="51">
        <v>0</v>
      </c>
      <c r="G45" s="51">
        <v>0</v>
      </c>
      <c r="H45" s="17">
        <f t="shared" si="0"/>
        <v>0</v>
      </c>
      <c r="I45" s="2"/>
    </row>
    <row r="46" spans="2:9">
      <c r="B46" s="2"/>
      <c r="C46" s="37" t="s">
        <v>156</v>
      </c>
      <c r="D46" s="38"/>
      <c r="E46" s="34" t="s">
        <v>103</v>
      </c>
      <c r="F46" s="51">
        <v>0</v>
      </c>
      <c r="G46" s="51">
        <v>0</v>
      </c>
      <c r="H46" s="17">
        <f t="shared" si="0"/>
        <v>0</v>
      </c>
      <c r="I46" s="2"/>
    </row>
    <row r="47" spans="2:9">
      <c r="B47" s="2"/>
      <c r="C47" s="37" t="s">
        <v>157</v>
      </c>
      <c r="D47" s="38"/>
      <c r="E47" s="34" t="s">
        <v>103</v>
      </c>
      <c r="F47" s="51">
        <v>0</v>
      </c>
      <c r="G47" s="51">
        <v>0</v>
      </c>
      <c r="H47" s="17">
        <f t="shared" si="0"/>
        <v>0</v>
      </c>
      <c r="I47" s="2"/>
    </row>
    <row r="48" spans="2:9">
      <c r="B48" s="2"/>
      <c r="C48" s="37" t="s">
        <v>158</v>
      </c>
      <c r="D48" s="38"/>
      <c r="E48" s="34" t="s">
        <v>103</v>
      </c>
      <c r="F48" s="51">
        <v>0</v>
      </c>
      <c r="G48" s="51">
        <v>0</v>
      </c>
      <c r="H48" s="17">
        <f t="shared" ref="H48:H79" si="1">IFERROR(G48/F48,0)</f>
        <v>0</v>
      </c>
      <c r="I48" s="2"/>
    </row>
    <row r="49" spans="2:9">
      <c r="B49" s="2"/>
      <c r="C49" s="37" t="s">
        <v>159</v>
      </c>
      <c r="D49" s="38"/>
      <c r="E49" s="34" t="s">
        <v>103</v>
      </c>
      <c r="F49" s="51">
        <v>0</v>
      </c>
      <c r="G49" s="51">
        <v>0</v>
      </c>
      <c r="H49" s="17">
        <f t="shared" si="1"/>
        <v>0</v>
      </c>
      <c r="I49" s="2"/>
    </row>
    <row r="50" spans="2:9">
      <c r="B50" s="2"/>
      <c r="C50" s="37" t="s">
        <v>160</v>
      </c>
      <c r="D50" s="38"/>
      <c r="E50" s="34" t="s">
        <v>103</v>
      </c>
      <c r="F50" s="51">
        <v>0</v>
      </c>
      <c r="G50" s="51">
        <v>0</v>
      </c>
      <c r="H50" s="17">
        <f t="shared" si="1"/>
        <v>0</v>
      </c>
      <c r="I50" s="2"/>
    </row>
    <row r="51" spans="2:9">
      <c r="B51" s="2"/>
      <c r="C51" s="37" t="s">
        <v>161</v>
      </c>
      <c r="D51" s="38"/>
      <c r="E51" s="34" t="s">
        <v>103</v>
      </c>
      <c r="F51" s="51">
        <v>0</v>
      </c>
      <c r="G51" s="51">
        <v>0</v>
      </c>
      <c r="H51" s="17">
        <f t="shared" si="1"/>
        <v>0</v>
      </c>
      <c r="I51" s="2"/>
    </row>
    <row r="52" spans="2:9">
      <c r="B52" s="2"/>
      <c r="C52" s="37" t="s">
        <v>162</v>
      </c>
      <c r="D52" s="38"/>
      <c r="E52" s="34" t="s">
        <v>103</v>
      </c>
      <c r="F52" s="51">
        <v>0</v>
      </c>
      <c r="G52" s="51">
        <v>0</v>
      </c>
      <c r="H52" s="17">
        <f t="shared" si="1"/>
        <v>0</v>
      </c>
      <c r="I52" s="2"/>
    </row>
    <row r="53" spans="2:9">
      <c r="B53" s="2"/>
      <c r="C53" s="37" t="s">
        <v>163</v>
      </c>
      <c r="D53" s="38"/>
      <c r="E53" s="34" t="s">
        <v>103</v>
      </c>
      <c r="F53" s="51">
        <v>0</v>
      </c>
      <c r="G53" s="51">
        <v>0</v>
      </c>
      <c r="H53" s="17">
        <f t="shared" si="1"/>
        <v>0</v>
      </c>
      <c r="I53" s="2"/>
    </row>
    <row r="54" spans="2:9">
      <c r="B54" s="2"/>
      <c r="C54" s="37" t="s">
        <v>164</v>
      </c>
      <c r="D54" s="38"/>
      <c r="E54" s="34" t="s">
        <v>103</v>
      </c>
      <c r="F54" s="51">
        <v>0</v>
      </c>
      <c r="G54" s="51">
        <v>0</v>
      </c>
      <c r="H54" s="17">
        <f t="shared" si="1"/>
        <v>0</v>
      </c>
      <c r="I54" s="2"/>
    </row>
    <row r="55" spans="2:9">
      <c r="B55" s="2"/>
      <c r="C55" s="37" t="s">
        <v>165</v>
      </c>
      <c r="D55" s="38"/>
      <c r="E55" s="34" t="s">
        <v>103</v>
      </c>
      <c r="F55" s="51">
        <v>0</v>
      </c>
      <c r="G55" s="51">
        <v>0</v>
      </c>
      <c r="H55" s="17">
        <f t="shared" si="1"/>
        <v>0</v>
      </c>
      <c r="I55" s="2"/>
    </row>
    <row r="56" spans="2:9">
      <c r="B56" s="2"/>
      <c r="C56" s="37" t="s">
        <v>166</v>
      </c>
      <c r="D56" s="38"/>
      <c r="E56" s="34" t="s">
        <v>103</v>
      </c>
      <c r="F56" s="51">
        <v>0</v>
      </c>
      <c r="G56" s="51">
        <v>0</v>
      </c>
      <c r="H56" s="17">
        <f t="shared" si="1"/>
        <v>0</v>
      </c>
      <c r="I56" s="2"/>
    </row>
    <row r="57" spans="2:9">
      <c r="B57" s="2"/>
      <c r="C57" s="37" t="s">
        <v>167</v>
      </c>
      <c r="D57" s="38"/>
      <c r="E57" s="34" t="s">
        <v>103</v>
      </c>
      <c r="F57" s="51">
        <v>0</v>
      </c>
      <c r="G57" s="51">
        <v>0</v>
      </c>
      <c r="H57" s="17">
        <f t="shared" si="1"/>
        <v>0</v>
      </c>
      <c r="I57" s="2"/>
    </row>
    <row r="58" spans="2:9">
      <c r="B58" s="2"/>
      <c r="C58" s="37" t="s">
        <v>168</v>
      </c>
      <c r="D58" s="38"/>
      <c r="E58" s="34" t="s">
        <v>103</v>
      </c>
      <c r="F58" s="51">
        <v>0</v>
      </c>
      <c r="G58" s="51">
        <v>0</v>
      </c>
      <c r="H58" s="17">
        <f t="shared" si="1"/>
        <v>0</v>
      </c>
      <c r="I58" s="2"/>
    </row>
    <row r="59" spans="2:9">
      <c r="B59" s="2"/>
      <c r="C59" s="37" t="s">
        <v>169</v>
      </c>
      <c r="D59" s="38"/>
      <c r="E59" s="34" t="s">
        <v>103</v>
      </c>
      <c r="F59" s="51">
        <v>0</v>
      </c>
      <c r="G59" s="51">
        <v>0</v>
      </c>
      <c r="H59" s="17">
        <f t="shared" si="1"/>
        <v>0</v>
      </c>
      <c r="I59" s="2"/>
    </row>
    <row r="60" spans="2:9">
      <c r="B60" s="2"/>
      <c r="C60" s="37" t="s">
        <v>170</v>
      </c>
      <c r="D60" s="38"/>
      <c r="E60" s="34" t="s">
        <v>103</v>
      </c>
      <c r="F60" s="51">
        <v>0</v>
      </c>
      <c r="G60" s="51">
        <v>0</v>
      </c>
      <c r="H60" s="17">
        <f t="shared" si="1"/>
        <v>0</v>
      </c>
      <c r="I60" s="2"/>
    </row>
    <row r="61" spans="2:9">
      <c r="B61" s="2"/>
      <c r="C61" s="37" t="s">
        <v>171</v>
      </c>
      <c r="D61" s="38"/>
      <c r="E61" s="34" t="s">
        <v>103</v>
      </c>
      <c r="F61" s="51">
        <v>0</v>
      </c>
      <c r="G61" s="51">
        <v>0</v>
      </c>
      <c r="H61" s="17">
        <f t="shared" si="1"/>
        <v>0</v>
      </c>
      <c r="I61" s="2"/>
    </row>
    <row r="62" spans="2:9">
      <c r="B62" s="2"/>
      <c r="C62" s="37" t="s">
        <v>172</v>
      </c>
      <c r="D62" s="38"/>
      <c r="E62" s="34" t="s">
        <v>103</v>
      </c>
      <c r="F62" s="51">
        <v>0</v>
      </c>
      <c r="G62" s="51">
        <v>0</v>
      </c>
      <c r="H62" s="17">
        <f t="shared" si="1"/>
        <v>0</v>
      </c>
      <c r="I62" s="2"/>
    </row>
    <row r="63" spans="2:9">
      <c r="B63" s="2"/>
      <c r="C63" s="37" t="s">
        <v>173</v>
      </c>
      <c r="D63" s="38"/>
      <c r="E63" s="34" t="s">
        <v>103</v>
      </c>
      <c r="F63" s="51">
        <v>0</v>
      </c>
      <c r="G63" s="51">
        <v>0</v>
      </c>
      <c r="H63" s="17">
        <f t="shared" si="1"/>
        <v>0</v>
      </c>
      <c r="I63" s="2"/>
    </row>
    <row r="64" spans="2:9">
      <c r="B64" s="2"/>
      <c r="C64" s="37" t="s">
        <v>174</v>
      </c>
      <c r="D64" s="38"/>
      <c r="E64" s="34" t="s">
        <v>103</v>
      </c>
      <c r="F64" s="51">
        <v>0</v>
      </c>
      <c r="G64" s="51">
        <v>0</v>
      </c>
      <c r="H64" s="17">
        <f t="shared" si="1"/>
        <v>0</v>
      </c>
      <c r="I64" s="2"/>
    </row>
    <row r="65" spans="2:9">
      <c r="B65" s="2"/>
      <c r="C65" s="37" t="s">
        <v>175</v>
      </c>
      <c r="D65" s="38"/>
      <c r="E65" s="34" t="s">
        <v>103</v>
      </c>
      <c r="F65" s="51">
        <v>0</v>
      </c>
      <c r="G65" s="51">
        <v>0</v>
      </c>
      <c r="H65" s="17">
        <f t="shared" si="1"/>
        <v>0</v>
      </c>
      <c r="I65" s="2"/>
    </row>
    <row r="66" spans="2:9">
      <c r="B66" s="2"/>
      <c r="C66" s="37" t="s">
        <v>176</v>
      </c>
      <c r="D66" s="38"/>
      <c r="E66" s="34" t="s">
        <v>103</v>
      </c>
      <c r="F66" s="51">
        <v>0</v>
      </c>
      <c r="G66" s="51">
        <v>0</v>
      </c>
      <c r="H66" s="17">
        <f t="shared" si="1"/>
        <v>0</v>
      </c>
      <c r="I66" s="2"/>
    </row>
    <row r="67" spans="2:9">
      <c r="B67" s="2"/>
      <c r="C67" s="37" t="s">
        <v>177</v>
      </c>
      <c r="D67" s="38"/>
      <c r="E67" s="34" t="s">
        <v>103</v>
      </c>
      <c r="F67" s="51">
        <v>0</v>
      </c>
      <c r="G67" s="51">
        <v>0</v>
      </c>
      <c r="H67" s="17">
        <f t="shared" si="1"/>
        <v>0</v>
      </c>
      <c r="I67" s="2"/>
    </row>
    <row r="68" spans="2:9">
      <c r="B68" s="2"/>
      <c r="C68" s="37" t="s">
        <v>178</v>
      </c>
      <c r="D68" s="38"/>
      <c r="E68" s="34" t="s">
        <v>103</v>
      </c>
      <c r="F68" s="51">
        <v>0</v>
      </c>
      <c r="G68" s="51">
        <v>0</v>
      </c>
      <c r="H68" s="17">
        <f t="shared" si="1"/>
        <v>0</v>
      </c>
      <c r="I68" s="2"/>
    </row>
    <row r="69" spans="2:9">
      <c r="B69" s="2"/>
      <c r="C69" s="37" t="s">
        <v>179</v>
      </c>
      <c r="D69" s="38"/>
      <c r="E69" s="34" t="s">
        <v>103</v>
      </c>
      <c r="F69" s="51">
        <v>0</v>
      </c>
      <c r="G69" s="51">
        <v>0</v>
      </c>
      <c r="H69" s="17">
        <f t="shared" si="1"/>
        <v>0</v>
      </c>
      <c r="I69" s="2"/>
    </row>
    <row r="70" spans="2:9">
      <c r="B70" s="2"/>
      <c r="C70" s="37" t="s">
        <v>180</v>
      </c>
      <c r="D70" s="38"/>
      <c r="E70" s="34" t="s">
        <v>103</v>
      </c>
      <c r="F70" s="51">
        <v>0</v>
      </c>
      <c r="G70" s="51">
        <v>0</v>
      </c>
      <c r="H70" s="17">
        <f t="shared" si="1"/>
        <v>0</v>
      </c>
      <c r="I70" s="2"/>
    </row>
    <row r="71" spans="2:9">
      <c r="B71" s="2"/>
      <c r="C71" s="37" t="s">
        <v>181</v>
      </c>
      <c r="D71" s="38"/>
      <c r="E71" s="34" t="s">
        <v>103</v>
      </c>
      <c r="F71" s="51">
        <v>0</v>
      </c>
      <c r="G71" s="51">
        <v>0</v>
      </c>
      <c r="H71" s="17">
        <f t="shared" si="1"/>
        <v>0</v>
      </c>
      <c r="I71" s="2"/>
    </row>
    <row r="72" spans="2:9">
      <c r="B72" s="2"/>
      <c r="C72" s="37" t="s">
        <v>182</v>
      </c>
      <c r="D72" s="38"/>
      <c r="E72" s="34" t="s">
        <v>103</v>
      </c>
      <c r="F72" s="51">
        <v>0</v>
      </c>
      <c r="G72" s="51">
        <v>0</v>
      </c>
      <c r="H72" s="17">
        <f t="shared" si="1"/>
        <v>0</v>
      </c>
      <c r="I72" s="2"/>
    </row>
    <row r="73" spans="2:9">
      <c r="B73" s="2"/>
      <c r="C73" s="37" t="s">
        <v>183</v>
      </c>
      <c r="D73" s="38"/>
      <c r="E73" s="34" t="s">
        <v>103</v>
      </c>
      <c r="F73" s="51">
        <v>0</v>
      </c>
      <c r="G73" s="51">
        <v>0</v>
      </c>
      <c r="H73" s="17">
        <f t="shared" si="1"/>
        <v>0</v>
      </c>
      <c r="I73" s="2"/>
    </row>
    <row r="74" spans="2:9">
      <c r="B74" s="2"/>
      <c r="C74" s="37" t="s">
        <v>184</v>
      </c>
      <c r="D74" s="38"/>
      <c r="E74" s="34" t="s">
        <v>103</v>
      </c>
      <c r="F74" s="51">
        <v>0</v>
      </c>
      <c r="G74" s="51">
        <v>0</v>
      </c>
      <c r="H74" s="17">
        <f t="shared" si="1"/>
        <v>0</v>
      </c>
      <c r="I74" s="2"/>
    </row>
    <row r="75" spans="2:9">
      <c r="B75" s="2"/>
      <c r="C75" s="37" t="s">
        <v>185</v>
      </c>
      <c r="D75" s="38"/>
      <c r="E75" s="34" t="s">
        <v>103</v>
      </c>
      <c r="F75" s="51">
        <v>0</v>
      </c>
      <c r="G75" s="51">
        <v>0</v>
      </c>
      <c r="H75" s="17">
        <f t="shared" si="1"/>
        <v>0</v>
      </c>
      <c r="I75" s="2"/>
    </row>
    <row r="76" spans="2:9">
      <c r="B76" s="2"/>
      <c r="C76" s="37" t="s">
        <v>186</v>
      </c>
      <c r="D76" s="38"/>
      <c r="E76" s="34" t="s">
        <v>103</v>
      </c>
      <c r="F76" s="51">
        <v>0</v>
      </c>
      <c r="G76" s="51">
        <v>0</v>
      </c>
      <c r="H76" s="17">
        <f t="shared" si="1"/>
        <v>0</v>
      </c>
      <c r="I76" s="2"/>
    </row>
    <row r="77" spans="2:9">
      <c r="B77" s="2"/>
      <c r="C77" s="37" t="s">
        <v>187</v>
      </c>
      <c r="D77" s="38"/>
      <c r="E77" s="34" t="s">
        <v>103</v>
      </c>
      <c r="F77" s="51">
        <v>0</v>
      </c>
      <c r="G77" s="51">
        <v>0</v>
      </c>
      <c r="H77" s="17">
        <f t="shared" si="1"/>
        <v>0</v>
      </c>
      <c r="I77" s="2"/>
    </row>
    <row r="78" spans="2:9">
      <c r="B78" s="2"/>
      <c r="C78" s="37" t="s">
        <v>188</v>
      </c>
      <c r="D78" s="38"/>
      <c r="E78" s="34" t="s">
        <v>103</v>
      </c>
      <c r="F78" s="51">
        <v>0</v>
      </c>
      <c r="G78" s="51">
        <v>0</v>
      </c>
      <c r="H78" s="17">
        <f t="shared" si="1"/>
        <v>0</v>
      </c>
      <c r="I78" s="2"/>
    </row>
    <row r="79" spans="2:9">
      <c r="B79" s="2"/>
      <c r="C79" s="37" t="s">
        <v>189</v>
      </c>
      <c r="D79" s="38"/>
      <c r="E79" s="34" t="s">
        <v>103</v>
      </c>
      <c r="F79" s="51">
        <v>0</v>
      </c>
      <c r="G79" s="51">
        <v>0</v>
      </c>
      <c r="H79" s="17">
        <f t="shared" si="1"/>
        <v>0</v>
      </c>
      <c r="I79" s="2"/>
    </row>
    <row r="80" spans="2:9">
      <c r="B80" s="2"/>
      <c r="C80" s="37" t="s">
        <v>190</v>
      </c>
      <c r="D80" s="38"/>
      <c r="E80" s="34" t="s">
        <v>103</v>
      </c>
      <c r="F80" s="51">
        <v>0</v>
      </c>
      <c r="G80" s="51">
        <v>0</v>
      </c>
      <c r="H80" s="17">
        <f t="shared" ref="H80:H111" si="2">IFERROR(G80/F80,0)</f>
        <v>0</v>
      </c>
      <c r="I80" s="2"/>
    </row>
    <row r="81" spans="2:9">
      <c r="B81" s="2"/>
      <c r="C81" s="37" t="s">
        <v>191</v>
      </c>
      <c r="D81" s="38"/>
      <c r="E81" s="34" t="s">
        <v>103</v>
      </c>
      <c r="F81" s="51">
        <v>0</v>
      </c>
      <c r="G81" s="51">
        <v>0</v>
      </c>
      <c r="H81" s="17">
        <f t="shared" si="2"/>
        <v>0</v>
      </c>
      <c r="I81" s="2"/>
    </row>
    <row r="82" spans="2:9">
      <c r="B82" s="2"/>
      <c r="C82" s="37" t="s">
        <v>192</v>
      </c>
      <c r="D82" s="38"/>
      <c r="E82" s="34" t="s">
        <v>103</v>
      </c>
      <c r="F82" s="51">
        <v>0</v>
      </c>
      <c r="G82" s="51">
        <v>0</v>
      </c>
      <c r="H82" s="17">
        <f t="shared" si="2"/>
        <v>0</v>
      </c>
      <c r="I82" s="2"/>
    </row>
    <row r="83" spans="2:9">
      <c r="B83" s="2"/>
      <c r="C83" s="37" t="s">
        <v>193</v>
      </c>
      <c r="D83" s="38"/>
      <c r="E83" s="34" t="s">
        <v>103</v>
      </c>
      <c r="F83" s="51">
        <v>0</v>
      </c>
      <c r="G83" s="51">
        <v>0</v>
      </c>
      <c r="H83" s="17">
        <f t="shared" si="2"/>
        <v>0</v>
      </c>
      <c r="I83" s="2"/>
    </row>
    <row r="84" spans="2:9">
      <c r="B84" s="2"/>
      <c r="C84" s="37" t="s">
        <v>194</v>
      </c>
      <c r="D84" s="38"/>
      <c r="E84" s="34" t="s">
        <v>103</v>
      </c>
      <c r="F84" s="51">
        <v>0</v>
      </c>
      <c r="G84" s="51">
        <v>0</v>
      </c>
      <c r="H84" s="17">
        <f t="shared" si="2"/>
        <v>0</v>
      </c>
      <c r="I84" s="2"/>
    </row>
    <row r="85" spans="2:9">
      <c r="B85" s="2"/>
      <c r="C85" s="37" t="s">
        <v>195</v>
      </c>
      <c r="D85" s="38"/>
      <c r="E85" s="34" t="s">
        <v>103</v>
      </c>
      <c r="F85" s="51">
        <v>0</v>
      </c>
      <c r="G85" s="51">
        <v>0</v>
      </c>
      <c r="H85" s="17">
        <f t="shared" si="2"/>
        <v>0</v>
      </c>
      <c r="I85" s="2"/>
    </row>
    <row r="86" spans="2:9">
      <c r="B86" s="2"/>
      <c r="C86" s="37" t="s">
        <v>196</v>
      </c>
      <c r="D86" s="38"/>
      <c r="E86" s="34" t="s">
        <v>103</v>
      </c>
      <c r="F86" s="51">
        <v>0</v>
      </c>
      <c r="G86" s="51">
        <v>0</v>
      </c>
      <c r="H86" s="17">
        <f t="shared" si="2"/>
        <v>0</v>
      </c>
      <c r="I86" s="2"/>
    </row>
    <row r="87" spans="2:9">
      <c r="B87" s="2"/>
      <c r="C87" s="37" t="s">
        <v>197</v>
      </c>
      <c r="D87" s="38"/>
      <c r="E87" s="34" t="s">
        <v>103</v>
      </c>
      <c r="F87" s="51">
        <v>0</v>
      </c>
      <c r="G87" s="51">
        <v>0</v>
      </c>
      <c r="H87" s="17">
        <f t="shared" si="2"/>
        <v>0</v>
      </c>
      <c r="I87" s="2"/>
    </row>
    <row r="88" spans="2:9">
      <c r="B88" s="2"/>
      <c r="C88" s="37" t="s">
        <v>198</v>
      </c>
      <c r="D88" s="38"/>
      <c r="E88" s="34" t="s">
        <v>103</v>
      </c>
      <c r="F88" s="51">
        <v>0</v>
      </c>
      <c r="G88" s="51">
        <v>0</v>
      </c>
      <c r="H88" s="17">
        <f t="shared" si="2"/>
        <v>0</v>
      </c>
      <c r="I88" s="2"/>
    </row>
    <row r="89" spans="2:9">
      <c r="B89" s="2"/>
      <c r="C89" s="37" t="s">
        <v>199</v>
      </c>
      <c r="D89" s="38"/>
      <c r="E89" s="34" t="s">
        <v>103</v>
      </c>
      <c r="F89" s="51">
        <v>0</v>
      </c>
      <c r="G89" s="51">
        <v>0</v>
      </c>
      <c r="H89" s="17">
        <f t="shared" si="2"/>
        <v>0</v>
      </c>
      <c r="I89" s="2"/>
    </row>
    <row r="90" spans="2:9">
      <c r="B90" s="2"/>
      <c r="C90" s="37" t="s">
        <v>200</v>
      </c>
      <c r="D90" s="38"/>
      <c r="E90" s="34" t="s">
        <v>103</v>
      </c>
      <c r="F90" s="51">
        <v>0</v>
      </c>
      <c r="G90" s="51">
        <v>0</v>
      </c>
      <c r="H90" s="17">
        <f t="shared" si="2"/>
        <v>0</v>
      </c>
      <c r="I90" s="2"/>
    </row>
    <row r="91" spans="2:9">
      <c r="B91" s="2"/>
      <c r="C91" s="37" t="s">
        <v>201</v>
      </c>
      <c r="D91" s="38"/>
      <c r="E91" s="34" t="s">
        <v>103</v>
      </c>
      <c r="F91" s="51">
        <v>0</v>
      </c>
      <c r="G91" s="51">
        <v>0</v>
      </c>
      <c r="H91" s="17">
        <f t="shared" si="2"/>
        <v>0</v>
      </c>
      <c r="I91" s="2"/>
    </row>
    <row r="92" spans="2:9">
      <c r="B92" s="2"/>
      <c r="C92" s="37" t="s">
        <v>202</v>
      </c>
      <c r="D92" s="38"/>
      <c r="E92" s="34" t="s">
        <v>103</v>
      </c>
      <c r="F92" s="51">
        <v>0</v>
      </c>
      <c r="G92" s="51">
        <v>0</v>
      </c>
      <c r="H92" s="17">
        <f t="shared" si="2"/>
        <v>0</v>
      </c>
      <c r="I92" s="2"/>
    </row>
    <row r="93" spans="2:9">
      <c r="B93" s="2"/>
      <c r="C93" s="37" t="s">
        <v>203</v>
      </c>
      <c r="D93" s="38"/>
      <c r="E93" s="34" t="s">
        <v>103</v>
      </c>
      <c r="F93" s="51">
        <v>0</v>
      </c>
      <c r="G93" s="51">
        <v>0</v>
      </c>
      <c r="H93" s="17">
        <f t="shared" si="2"/>
        <v>0</v>
      </c>
      <c r="I93" s="2"/>
    </row>
    <row r="94" spans="2:9">
      <c r="B94" s="2"/>
      <c r="C94" s="37" t="s">
        <v>204</v>
      </c>
      <c r="D94" s="38"/>
      <c r="E94" s="34" t="s">
        <v>103</v>
      </c>
      <c r="F94" s="51">
        <v>0</v>
      </c>
      <c r="G94" s="51">
        <v>0</v>
      </c>
      <c r="H94" s="17">
        <f t="shared" si="2"/>
        <v>0</v>
      </c>
      <c r="I94" s="2"/>
    </row>
    <row r="95" spans="2:9">
      <c r="B95" s="2"/>
      <c r="C95" s="37" t="s">
        <v>205</v>
      </c>
      <c r="D95" s="38"/>
      <c r="E95" s="34" t="s">
        <v>103</v>
      </c>
      <c r="F95" s="51">
        <v>0</v>
      </c>
      <c r="G95" s="51">
        <v>0</v>
      </c>
      <c r="H95" s="17">
        <f t="shared" si="2"/>
        <v>0</v>
      </c>
      <c r="I95" s="2"/>
    </row>
    <row r="96" spans="2:9">
      <c r="B96" s="2"/>
      <c r="C96" s="37" t="s">
        <v>206</v>
      </c>
      <c r="D96" s="38"/>
      <c r="E96" s="34" t="s">
        <v>103</v>
      </c>
      <c r="F96" s="51">
        <v>0</v>
      </c>
      <c r="G96" s="51">
        <v>0</v>
      </c>
      <c r="H96" s="17">
        <f t="shared" si="2"/>
        <v>0</v>
      </c>
      <c r="I96" s="2"/>
    </row>
    <row r="97" spans="2:9">
      <c r="B97" s="2"/>
      <c r="C97" s="37" t="s">
        <v>207</v>
      </c>
      <c r="D97" s="38"/>
      <c r="E97" s="34" t="s">
        <v>103</v>
      </c>
      <c r="F97" s="51">
        <v>0</v>
      </c>
      <c r="G97" s="51">
        <v>0</v>
      </c>
      <c r="H97" s="17">
        <f t="shared" si="2"/>
        <v>0</v>
      </c>
      <c r="I97" s="2"/>
    </row>
    <row r="98" spans="2:9">
      <c r="B98" s="2"/>
      <c r="C98" s="37" t="s">
        <v>208</v>
      </c>
      <c r="D98" s="38"/>
      <c r="E98" s="34" t="s">
        <v>103</v>
      </c>
      <c r="F98" s="51">
        <v>0</v>
      </c>
      <c r="G98" s="51">
        <v>0</v>
      </c>
      <c r="H98" s="17">
        <f t="shared" si="2"/>
        <v>0</v>
      </c>
      <c r="I98" s="2"/>
    </row>
    <row r="99" spans="2:9">
      <c r="B99" s="2"/>
      <c r="C99" s="37" t="s">
        <v>209</v>
      </c>
      <c r="D99" s="38"/>
      <c r="E99" s="34" t="s">
        <v>103</v>
      </c>
      <c r="F99" s="51">
        <v>0</v>
      </c>
      <c r="G99" s="51">
        <v>0</v>
      </c>
      <c r="H99" s="17">
        <f t="shared" si="2"/>
        <v>0</v>
      </c>
      <c r="I99" s="2"/>
    </row>
    <row r="100" spans="2:9">
      <c r="B100" s="2"/>
      <c r="C100" s="37" t="s">
        <v>210</v>
      </c>
      <c r="D100" s="38"/>
      <c r="E100" s="34" t="s">
        <v>103</v>
      </c>
      <c r="F100" s="51">
        <v>0</v>
      </c>
      <c r="G100" s="51">
        <v>0</v>
      </c>
      <c r="H100" s="17">
        <f t="shared" si="2"/>
        <v>0</v>
      </c>
      <c r="I100" s="2"/>
    </row>
    <row r="101" spans="2:9">
      <c r="B101" s="2"/>
      <c r="C101" s="37" t="s">
        <v>211</v>
      </c>
      <c r="D101" s="38"/>
      <c r="E101" s="34" t="s">
        <v>103</v>
      </c>
      <c r="F101" s="51">
        <v>0</v>
      </c>
      <c r="G101" s="51">
        <v>0</v>
      </c>
      <c r="H101" s="17">
        <f t="shared" si="2"/>
        <v>0</v>
      </c>
      <c r="I101" s="2"/>
    </row>
    <row r="102" spans="2:9">
      <c r="B102" s="2"/>
      <c r="C102" s="37" t="s">
        <v>212</v>
      </c>
      <c r="D102" s="38"/>
      <c r="E102" s="34" t="s">
        <v>103</v>
      </c>
      <c r="F102" s="51">
        <v>0</v>
      </c>
      <c r="G102" s="51">
        <v>0</v>
      </c>
      <c r="H102" s="17">
        <f t="shared" si="2"/>
        <v>0</v>
      </c>
      <c r="I102" s="2"/>
    </row>
    <row r="103" spans="2:9">
      <c r="B103" s="2"/>
      <c r="C103" s="37" t="s">
        <v>213</v>
      </c>
      <c r="D103" s="38"/>
      <c r="E103" s="34" t="s">
        <v>103</v>
      </c>
      <c r="F103" s="51">
        <v>0</v>
      </c>
      <c r="G103" s="51">
        <v>0</v>
      </c>
      <c r="H103" s="17">
        <f t="shared" si="2"/>
        <v>0</v>
      </c>
      <c r="I103" s="2"/>
    </row>
    <row r="104" spans="2:9">
      <c r="B104" s="2"/>
      <c r="C104" s="37" t="s">
        <v>214</v>
      </c>
      <c r="D104" s="38"/>
      <c r="E104" s="34" t="s">
        <v>103</v>
      </c>
      <c r="F104" s="51">
        <v>0</v>
      </c>
      <c r="G104" s="51">
        <v>0</v>
      </c>
      <c r="H104" s="17">
        <f t="shared" si="2"/>
        <v>0</v>
      </c>
      <c r="I104" s="2"/>
    </row>
    <row r="105" spans="2:9">
      <c r="B105" s="2"/>
      <c r="C105" s="37" t="s">
        <v>215</v>
      </c>
      <c r="D105" s="38"/>
      <c r="E105" s="34" t="s">
        <v>103</v>
      </c>
      <c r="F105" s="51">
        <v>0</v>
      </c>
      <c r="G105" s="51">
        <v>0</v>
      </c>
      <c r="H105" s="17">
        <f t="shared" si="2"/>
        <v>0</v>
      </c>
      <c r="I105" s="2"/>
    </row>
    <row r="106" spans="2:9">
      <c r="B106" s="2"/>
      <c r="C106" s="37" t="s">
        <v>216</v>
      </c>
      <c r="D106" s="38"/>
      <c r="E106" s="34" t="s">
        <v>103</v>
      </c>
      <c r="F106" s="51">
        <v>0</v>
      </c>
      <c r="G106" s="51">
        <v>0</v>
      </c>
      <c r="H106" s="17">
        <f t="shared" si="2"/>
        <v>0</v>
      </c>
      <c r="I106" s="2"/>
    </row>
    <row r="107" spans="2:9">
      <c r="B107" s="2"/>
      <c r="C107" s="37" t="s">
        <v>217</v>
      </c>
      <c r="D107" s="38"/>
      <c r="E107" s="34" t="s">
        <v>103</v>
      </c>
      <c r="F107" s="51">
        <v>0</v>
      </c>
      <c r="G107" s="51">
        <v>0</v>
      </c>
      <c r="H107" s="17">
        <f t="shared" si="2"/>
        <v>0</v>
      </c>
      <c r="I107" s="2"/>
    </row>
    <row r="108" spans="2:9">
      <c r="B108" s="2"/>
      <c r="C108" s="37" t="s">
        <v>218</v>
      </c>
      <c r="D108" s="38"/>
      <c r="E108" s="34" t="s">
        <v>103</v>
      </c>
      <c r="F108" s="51">
        <v>0</v>
      </c>
      <c r="G108" s="51">
        <v>0</v>
      </c>
      <c r="H108" s="17">
        <f t="shared" si="2"/>
        <v>0</v>
      </c>
      <c r="I108" s="2"/>
    </row>
    <row r="109" spans="2:9">
      <c r="B109" s="2"/>
      <c r="C109" s="37" t="s">
        <v>219</v>
      </c>
      <c r="D109" s="38"/>
      <c r="E109" s="34" t="s">
        <v>103</v>
      </c>
      <c r="F109" s="51">
        <v>0</v>
      </c>
      <c r="G109" s="51">
        <v>0</v>
      </c>
      <c r="H109" s="17">
        <f t="shared" si="2"/>
        <v>0</v>
      </c>
      <c r="I109" s="2"/>
    </row>
    <row r="110" spans="2:9">
      <c r="B110" s="2"/>
      <c r="C110" s="37" t="s">
        <v>220</v>
      </c>
      <c r="D110" s="38"/>
      <c r="E110" s="34" t="s">
        <v>103</v>
      </c>
      <c r="F110" s="51">
        <v>0</v>
      </c>
      <c r="G110" s="51">
        <v>0</v>
      </c>
      <c r="H110" s="17">
        <f t="shared" si="2"/>
        <v>0</v>
      </c>
      <c r="I110" s="2"/>
    </row>
    <row r="111" spans="2:9">
      <c r="B111" s="2"/>
      <c r="C111" s="37" t="s">
        <v>221</v>
      </c>
      <c r="D111" s="38"/>
      <c r="E111" s="34" t="s">
        <v>103</v>
      </c>
      <c r="F111" s="51">
        <v>0</v>
      </c>
      <c r="G111" s="51">
        <v>0</v>
      </c>
      <c r="H111" s="17">
        <f t="shared" si="2"/>
        <v>0</v>
      </c>
      <c r="I111" s="2"/>
    </row>
    <row r="112" spans="2:9">
      <c r="B112" s="2"/>
      <c r="C112" s="37" t="s">
        <v>222</v>
      </c>
      <c r="D112" s="38"/>
      <c r="E112" s="34" t="s">
        <v>103</v>
      </c>
      <c r="F112" s="51">
        <v>0</v>
      </c>
      <c r="G112" s="51">
        <v>0</v>
      </c>
      <c r="H112" s="17">
        <f t="shared" ref="H112:H116" si="3">IFERROR(G112/F112,0)</f>
        <v>0</v>
      </c>
      <c r="I112" s="2"/>
    </row>
    <row r="113" spans="1:9">
      <c r="B113" s="2"/>
      <c r="C113" s="37" t="s">
        <v>223</v>
      </c>
      <c r="D113" s="38"/>
      <c r="E113" s="34" t="s">
        <v>103</v>
      </c>
      <c r="F113" s="51">
        <v>0</v>
      </c>
      <c r="G113" s="51">
        <v>0</v>
      </c>
      <c r="H113" s="17">
        <f t="shared" si="3"/>
        <v>0</v>
      </c>
      <c r="I113" s="2"/>
    </row>
    <row r="114" spans="1:9" s="14" customFormat="1">
      <c r="B114" s="5"/>
      <c r="C114" s="49" t="s">
        <v>224</v>
      </c>
      <c r="D114" s="50"/>
      <c r="E114" s="34" t="s">
        <v>103</v>
      </c>
      <c r="F114" s="51">
        <v>0</v>
      </c>
      <c r="G114" s="51">
        <v>0</v>
      </c>
      <c r="H114" s="19">
        <f t="shared" si="3"/>
        <v>0</v>
      </c>
      <c r="I114" s="5"/>
    </row>
    <row r="115" spans="1:9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51">
        <v>0</v>
      </c>
      <c r="G115" s="51">
        <v>0</v>
      </c>
      <c r="H115" s="19">
        <f t="shared" si="3"/>
        <v>0</v>
      </c>
      <c r="I115" s="5"/>
    </row>
    <row r="116" spans="1:9">
      <c r="A116" s="16" t="s">
        <v>227</v>
      </c>
      <c r="B116" s="2"/>
      <c r="C116" s="37" t="s">
        <v>233</v>
      </c>
      <c r="D116" s="38"/>
      <c r="E116" s="13" t="str">
        <f>""</f>
        <v/>
      </c>
      <c r="F116" s="18" t="str">
        <f>""</f>
        <v/>
      </c>
      <c r="G116" s="18" t="str">
        <f>""</f>
        <v/>
      </c>
      <c r="H116" s="17">
        <f t="shared" si="3"/>
        <v>0</v>
      </c>
      <c r="I116" s="2"/>
    </row>
    <row r="117" spans="1:9">
      <c r="B117" s="2"/>
      <c r="C117" s="2"/>
      <c r="D117" s="2"/>
      <c r="E117" s="2"/>
      <c r="F117" s="2"/>
      <c r="G117" s="2"/>
      <c r="H117" s="2"/>
      <c r="I117" s="2"/>
    </row>
    <row r="118" spans="1:9" ht="5.0999999999999996" customHeight="1">
      <c r="B118" s="2"/>
      <c r="C118" s="2"/>
      <c r="D118" s="2"/>
      <c r="E118" s="2"/>
      <c r="F118" s="2"/>
      <c r="G118" s="2"/>
      <c r="H118" s="2"/>
      <c r="I118" s="2"/>
    </row>
  </sheetData>
  <sheetProtection sheet="1" formatColumns="0" formatRows="0" insertRows="0" deleteRows="0" selectLockedCells="1"/>
  <mergeCells count="413">
    <mergeCell ref="C7:H7"/>
    <mergeCell ref="C9:H9"/>
    <mergeCell ref="C10:H10"/>
    <mergeCell ref="C11:H11"/>
    <mergeCell ref="C13:H13"/>
    <mergeCell ref="C16:D16"/>
    <mergeCell ref="E16"/>
    <mergeCell ref="F16"/>
    <mergeCell ref="G16"/>
    <mergeCell ref="C17:D17"/>
    <mergeCell ref="E17"/>
    <mergeCell ref="F17"/>
    <mergeCell ref="G17"/>
    <mergeCell ref="C14:D15"/>
    <mergeCell ref="E15"/>
    <mergeCell ref="E14"/>
    <mergeCell ref="F15"/>
    <mergeCell ref="G15"/>
    <mergeCell ref="F14:H14"/>
    <mergeCell ref="H15"/>
    <mergeCell ref="C20:D20"/>
    <mergeCell ref="E20"/>
    <mergeCell ref="F20"/>
    <mergeCell ref="G20"/>
    <mergeCell ref="C21:D21"/>
    <mergeCell ref="E21"/>
    <mergeCell ref="F21"/>
    <mergeCell ref="G21"/>
    <mergeCell ref="C18:D18"/>
    <mergeCell ref="E18"/>
    <mergeCell ref="F18"/>
    <mergeCell ref="G18"/>
    <mergeCell ref="C19:D19"/>
    <mergeCell ref="E19"/>
    <mergeCell ref="F19"/>
    <mergeCell ref="G19"/>
    <mergeCell ref="C24:D24"/>
    <mergeCell ref="E24"/>
    <mergeCell ref="F24"/>
    <mergeCell ref="G24"/>
    <mergeCell ref="C25:D25"/>
    <mergeCell ref="E25"/>
    <mergeCell ref="F25"/>
    <mergeCell ref="G25"/>
    <mergeCell ref="C22:D22"/>
    <mergeCell ref="E22"/>
    <mergeCell ref="F22"/>
    <mergeCell ref="G22"/>
    <mergeCell ref="C23:D23"/>
    <mergeCell ref="E23"/>
    <mergeCell ref="F23"/>
    <mergeCell ref="G23"/>
    <mergeCell ref="C28:D28"/>
    <mergeCell ref="E28"/>
    <mergeCell ref="F28"/>
    <mergeCell ref="G28"/>
    <mergeCell ref="C29:D29"/>
    <mergeCell ref="E29"/>
    <mergeCell ref="F29"/>
    <mergeCell ref="G29"/>
    <mergeCell ref="C26:D26"/>
    <mergeCell ref="E26"/>
    <mergeCell ref="F26"/>
    <mergeCell ref="G26"/>
    <mergeCell ref="C27:D27"/>
    <mergeCell ref="E27"/>
    <mergeCell ref="F27"/>
    <mergeCell ref="G27"/>
    <mergeCell ref="C32:D32"/>
    <mergeCell ref="E32"/>
    <mergeCell ref="F32"/>
    <mergeCell ref="G32"/>
    <mergeCell ref="C33:D33"/>
    <mergeCell ref="E33"/>
    <mergeCell ref="F33"/>
    <mergeCell ref="G33"/>
    <mergeCell ref="C30:D30"/>
    <mergeCell ref="E30"/>
    <mergeCell ref="F30"/>
    <mergeCell ref="G30"/>
    <mergeCell ref="C31:D31"/>
    <mergeCell ref="E31"/>
    <mergeCell ref="F31"/>
    <mergeCell ref="G31"/>
    <mergeCell ref="C36:D36"/>
    <mergeCell ref="E36"/>
    <mergeCell ref="F36"/>
    <mergeCell ref="G36"/>
    <mergeCell ref="C37:D37"/>
    <mergeCell ref="E37"/>
    <mergeCell ref="F37"/>
    <mergeCell ref="G37"/>
    <mergeCell ref="C34:D34"/>
    <mergeCell ref="E34"/>
    <mergeCell ref="F34"/>
    <mergeCell ref="G34"/>
    <mergeCell ref="C35:D35"/>
    <mergeCell ref="E35"/>
    <mergeCell ref="F35"/>
    <mergeCell ref="G35"/>
    <mergeCell ref="C40:D40"/>
    <mergeCell ref="E40"/>
    <mergeCell ref="F40"/>
    <mergeCell ref="G40"/>
    <mergeCell ref="C41:D41"/>
    <mergeCell ref="E41"/>
    <mergeCell ref="F41"/>
    <mergeCell ref="G41"/>
    <mergeCell ref="C38:D38"/>
    <mergeCell ref="E38"/>
    <mergeCell ref="F38"/>
    <mergeCell ref="G38"/>
    <mergeCell ref="C39:D39"/>
    <mergeCell ref="E39"/>
    <mergeCell ref="F39"/>
    <mergeCell ref="G39"/>
    <mergeCell ref="C44:D44"/>
    <mergeCell ref="E44"/>
    <mergeCell ref="F44"/>
    <mergeCell ref="G44"/>
    <mergeCell ref="C45:D45"/>
    <mergeCell ref="E45"/>
    <mergeCell ref="F45"/>
    <mergeCell ref="G45"/>
    <mergeCell ref="C42:D42"/>
    <mergeCell ref="E42"/>
    <mergeCell ref="F42"/>
    <mergeCell ref="G42"/>
    <mergeCell ref="C43:D43"/>
    <mergeCell ref="E43"/>
    <mergeCell ref="F43"/>
    <mergeCell ref="G43"/>
    <mergeCell ref="C48:D48"/>
    <mergeCell ref="E48"/>
    <mergeCell ref="F48"/>
    <mergeCell ref="G48"/>
    <mergeCell ref="C49:D49"/>
    <mergeCell ref="E49"/>
    <mergeCell ref="F49"/>
    <mergeCell ref="G49"/>
    <mergeCell ref="C46:D46"/>
    <mergeCell ref="E46"/>
    <mergeCell ref="F46"/>
    <mergeCell ref="G46"/>
    <mergeCell ref="C47:D47"/>
    <mergeCell ref="E47"/>
    <mergeCell ref="F47"/>
    <mergeCell ref="G47"/>
    <mergeCell ref="C52:D52"/>
    <mergeCell ref="E52"/>
    <mergeCell ref="F52"/>
    <mergeCell ref="G52"/>
    <mergeCell ref="C53:D53"/>
    <mergeCell ref="E53"/>
    <mergeCell ref="F53"/>
    <mergeCell ref="G53"/>
    <mergeCell ref="C50:D50"/>
    <mergeCell ref="E50"/>
    <mergeCell ref="F50"/>
    <mergeCell ref="G50"/>
    <mergeCell ref="C51:D51"/>
    <mergeCell ref="E51"/>
    <mergeCell ref="F51"/>
    <mergeCell ref="G51"/>
    <mergeCell ref="C56:D56"/>
    <mergeCell ref="E56"/>
    <mergeCell ref="F56"/>
    <mergeCell ref="G56"/>
    <mergeCell ref="C57:D57"/>
    <mergeCell ref="E57"/>
    <mergeCell ref="F57"/>
    <mergeCell ref="G57"/>
    <mergeCell ref="C54:D54"/>
    <mergeCell ref="E54"/>
    <mergeCell ref="F54"/>
    <mergeCell ref="G54"/>
    <mergeCell ref="C55:D55"/>
    <mergeCell ref="E55"/>
    <mergeCell ref="F55"/>
    <mergeCell ref="G55"/>
    <mergeCell ref="C60:D60"/>
    <mergeCell ref="E60"/>
    <mergeCell ref="F60"/>
    <mergeCell ref="G60"/>
    <mergeCell ref="C61:D61"/>
    <mergeCell ref="E61"/>
    <mergeCell ref="F61"/>
    <mergeCell ref="G61"/>
    <mergeCell ref="C58:D58"/>
    <mergeCell ref="E58"/>
    <mergeCell ref="F58"/>
    <mergeCell ref="G58"/>
    <mergeCell ref="C59:D59"/>
    <mergeCell ref="E59"/>
    <mergeCell ref="F59"/>
    <mergeCell ref="G59"/>
    <mergeCell ref="C64:D64"/>
    <mergeCell ref="E64"/>
    <mergeCell ref="F64"/>
    <mergeCell ref="G64"/>
    <mergeCell ref="C65:D65"/>
    <mergeCell ref="E65"/>
    <mergeCell ref="F65"/>
    <mergeCell ref="G65"/>
    <mergeCell ref="C62:D62"/>
    <mergeCell ref="E62"/>
    <mergeCell ref="F62"/>
    <mergeCell ref="G62"/>
    <mergeCell ref="C63:D63"/>
    <mergeCell ref="E63"/>
    <mergeCell ref="F63"/>
    <mergeCell ref="G63"/>
    <mergeCell ref="C68:D68"/>
    <mergeCell ref="E68"/>
    <mergeCell ref="F68"/>
    <mergeCell ref="G68"/>
    <mergeCell ref="C69:D69"/>
    <mergeCell ref="E69"/>
    <mergeCell ref="F69"/>
    <mergeCell ref="G69"/>
    <mergeCell ref="C66:D66"/>
    <mergeCell ref="E66"/>
    <mergeCell ref="F66"/>
    <mergeCell ref="G66"/>
    <mergeCell ref="C67:D67"/>
    <mergeCell ref="E67"/>
    <mergeCell ref="F67"/>
    <mergeCell ref="G67"/>
    <mergeCell ref="C72:D72"/>
    <mergeCell ref="E72"/>
    <mergeCell ref="F72"/>
    <mergeCell ref="G72"/>
    <mergeCell ref="C73:D73"/>
    <mergeCell ref="E73"/>
    <mergeCell ref="F73"/>
    <mergeCell ref="G73"/>
    <mergeCell ref="C70:D70"/>
    <mergeCell ref="E70"/>
    <mergeCell ref="F70"/>
    <mergeCell ref="G70"/>
    <mergeCell ref="C71:D71"/>
    <mergeCell ref="E71"/>
    <mergeCell ref="F71"/>
    <mergeCell ref="G71"/>
    <mergeCell ref="C76:D76"/>
    <mergeCell ref="E76"/>
    <mergeCell ref="F76"/>
    <mergeCell ref="G76"/>
    <mergeCell ref="C77:D77"/>
    <mergeCell ref="E77"/>
    <mergeCell ref="F77"/>
    <mergeCell ref="G77"/>
    <mergeCell ref="C74:D74"/>
    <mergeCell ref="E74"/>
    <mergeCell ref="F74"/>
    <mergeCell ref="G74"/>
    <mergeCell ref="C75:D75"/>
    <mergeCell ref="E75"/>
    <mergeCell ref="F75"/>
    <mergeCell ref="G75"/>
    <mergeCell ref="C80:D80"/>
    <mergeCell ref="E80"/>
    <mergeCell ref="F80"/>
    <mergeCell ref="G80"/>
    <mergeCell ref="C81:D81"/>
    <mergeCell ref="E81"/>
    <mergeCell ref="F81"/>
    <mergeCell ref="G81"/>
    <mergeCell ref="C78:D78"/>
    <mergeCell ref="E78"/>
    <mergeCell ref="F78"/>
    <mergeCell ref="G78"/>
    <mergeCell ref="C79:D79"/>
    <mergeCell ref="E79"/>
    <mergeCell ref="F79"/>
    <mergeCell ref="G79"/>
    <mergeCell ref="C84:D84"/>
    <mergeCell ref="E84"/>
    <mergeCell ref="F84"/>
    <mergeCell ref="G84"/>
    <mergeCell ref="C85:D85"/>
    <mergeCell ref="E85"/>
    <mergeCell ref="F85"/>
    <mergeCell ref="G85"/>
    <mergeCell ref="C82:D82"/>
    <mergeCell ref="E82"/>
    <mergeCell ref="F82"/>
    <mergeCell ref="G82"/>
    <mergeCell ref="C83:D83"/>
    <mergeCell ref="E83"/>
    <mergeCell ref="F83"/>
    <mergeCell ref="G83"/>
    <mergeCell ref="C88:D88"/>
    <mergeCell ref="E88"/>
    <mergeCell ref="F88"/>
    <mergeCell ref="G88"/>
    <mergeCell ref="C89:D89"/>
    <mergeCell ref="E89"/>
    <mergeCell ref="F89"/>
    <mergeCell ref="G89"/>
    <mergeCell ref="C86:D86"/>
    <mergeCell ref="E86"/>
    <mergeCell ref="F86"/>
    <mergeCell ref="G86"/>
    <mergeCell ref="C87:D87"/>
    <mergeCell ref="E87"/>
    <mergeCell ref="F87"/>
    <mergeCell ref="G87"/>
    <mergeCell ref="C92:D92"/>
    <mergeCell ref="E92"/>
    <mergeCell ref="F92"/>
    <mergeCell ref="G92"/>
    <mergeCell ref="C93:D93"/>
    <mergeCell ref="E93"/>
    <mergeCell ref="F93"/>
    <mergeCell ref="G93"/>
    <mergeCell ref="C90:D90"/>
    <mergeCell ref="E90"/>
    <mergeCell ref="F90"/>
    <mergeCell ref="G90"/>
    <mergeCell ref="C91:D91"/>
    <mergeCell ref="E91"/>
    <mergeCell ref="F91"/>
    <mergeCell ref="G91"/>
    <mergeCell ref="C96:D96"/>
    <mergeCell ref="E96"/>
    <mergeCell ref="F96"/>
    <mergeCell ref="G96"/>
    <mergeCell ref="C97:D97"/>
    <mergeCell ref="E97"/>
    <mergeCell ref="F97"/>
    <mergeCell ref="G97"/>
    <mergeCell ref="C94:D94"/>
    <mergeCell ref="E94"/>
    <mergeCell ref="F94"/>
    <mergeCell ref="G94"/>
    <mergeCell ref="C95:D95"/>
    <mergeCell ref="E95"/>
    <mergeCell ref="F95"/>
    <mergeCell ref="G95"/>
    <mergeCell ref="C100:D100"/>
    <mergeCell ref="E100"/>
    <mergeCell ref="F100"/>
    <mergeCell ref="G100"/>
    <mergeCell ref="C101:D101"/>
    <mergeCell ref="E101"/>
    <mergeCell ref="F101"/>
    <mergeCell ref="G101"/>
    <mergeCell ref="C98:D98"/>
    <mergeCell ref="E98"/>
    <mergeCell ref="F98"/>
    <mergeCell ref="G98"/>
    <mergeCell ref="C99:D99"/>
    <mergeCell ref="E99"/>
    <mergeCell ref="F99"/>
    <mergeCell ref="G99"/>
    <mergeCell ref="C104:D104"/>
    <mergeCell ref="E104"/>
    <mergeCell ref="F104"/>
    <mergeCell ref="G104"/>
    <mergeCell ref="C105:D105"/>
    <mergeCell ref="E105"/>
    <mergeCell ref="F105"/>
    <mergeCell ref="G105"/>
    <mergeCell ref="C102:D102"/>
    <mergeCell ref="E102"/>
    <mergeCell ref="F102"/>
    <mergeCell ref="G102"/>
    <mergeCell ref="C103:D103"/>
    <mergeCell ref="E103"/>
    <mergeCell ref="F103"/>
    <mergeCell ref="G103"/>
    <mergeCell ref="C108:D108"/>
    <mergeCell ref="E108"/>
    <mergeCell ref="F108"/>
    <mergeCell ref="G108"/>
    <mergeCell ref="C109:D109"/>
    <mergeCell ref="E109"/>
    <mergeCell ref="F109"/>
    <mergeCell ref="G109"/>
    <mergeCell ref="C106:D106"/>
    <mergeCell ref="E106"/>
    <mergeCell ref="F106"/>
    <mergeCell ref="G106"/>
    <mergeCell ref="C107:D107"/>
    <mergeCell ref="E107"/>
    <mergeCell ref="F107"/>
    <mergeCell ref="G107"/>
    <mergeCell ref="C112:D112"/>
    <mergeCell ref="E112"/>
    <mergeCell ref="F112"/>
    <mergeCell ref="G112"/>
    <mergeCell ref="C113:D113"/>
    <mergeCell ref="E113"/>
    <mergeCell ref="F113"/>
    <mergeCell ref="G113"/>
    <mergeCell ref="C110:D110"/>
    <mergeCell ref="E110"/>
    <mergeCell ref="F110"/>
    <mergeCell ref="G110"/>
    <mergeCell ref="C111:D111"/>
    <mergeCell ref="E111"/>
    <mergeCell ref="F111"/>
    <mergeCell ref="G111"/>
    <mergeCell ref="C116:D116"/>
    <mergeCell ref="C114:D114"/>
    <mergeCell ref="E114"/>
    <mergeCell ref="F114"/>
    <mergeCell ref="G114"/>
    <mergeCell ref="C115:D115"/>
    <mergeCell ref="E115"/>
    <mergeCell ref="F115"/>
    <mergeCell ref="G115"/>
  </mergeCells>
  <dataValidations count="2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234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45" t="str">
        <f>UPPER('Data Umum'!D7)</f>
        <v/>
      </c>
      <c r="D7" s="45"/>
      <c r="E7" s="45"/>
      <c r="F7" s="45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46" t="s">
        <v>235</v>
      </c>
      <c r="D9" s="46"/>
      <c r="E9" s="46"/>
      <c r="F9" s="46"/>
      <c r="G9" s="2"/>
    </row>
    <row r="10" spans="2:7">
      <c r="B10" s="2"/>
      <c r="C10" s="46"/>
      <c r="D10" s="46"/>
      <c r="E10" s="46"/>
      <c r="F10" s="46"/>
      <c r="G10" s="2"/>
    </row>
    <row r="11" spans="2:7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48" t="s">
        <v>232</v>
      </c>
      <c r="D13" s="48"/>
      <c r="E13" s="48"/>
      <c r="F13" s="48"/>
      <c r="G13" s="2"/>
    </row>
    <row r="14" spans="2:7">
      <c r="B14" s="2"/>
      <c r="C14" s="40" t="s">
        <v>236</v>
      </c>
      <c r="D14" s="38"/>
      <c r="E14" s="43" t="str">
        <f>"Anggaran"</f>
        <v>Anggaran</v>
      </c>
      <c r="F14" s="43" t="str">
        <f>"Realisasi"</f>
        <v>Realisasi</v>
      </c>
      <c r="G14" s="2"/>
    </row>
    <row r="15" spans="2:7">
      <c r="B15" s="2"/>
      <c r="C15" s="41"/>
      <c r="D15" s="42"/>
      <c r="E15" s="44"/>
      <c r="F15" s="44"/>
      <c r="G15" s="2"/>
    </row>
    <row r="16" spans="2:7">
      <c r="B16" s="2"/>
      <c r="C16" s="37" t="s">
        <v>237</v>
      </c>
      <c r="D16" s="38"/>
      <c r="E16" s="51">
        <v>0</v>
      </c>
      <c r="F16" s="51">
        <v>0</v>
      </c>
      <c r="G16" s="2"/>
    </row>
    <row r="17" spans="2:7">
      <c r="B17" s="2"/>
      <c r="C17" s="37" t="s">
        <v>238</v>
      </c>
      <c r="D17" s="38"/>
      <c r="E17" s="20">
        <f>IFERROR(E18, 0)+IFERROR(E19, 0)+IFERROR(E20, 0)+IFERROR(E21, 0)</f>
        <v>0</v>
      </c>
      <c r="F17" s="20">
        <f>IFERROR(F18, 0)+IFERROR(F19, 0)+IFERROR(F20, 0)+IFERROR(F21, 0)</f>
        <v>0</v>
      </c>
      <c r="G17" s="2"/>
    </row>
    <row r="18" spans="2:7">
      <c r="B18" s="2"/>
      <c r="C18" s="35" t="s">
        <v>239</v>
      </c>
      <c r="D18" s="36"/>
      <c r="E18" s="51">
        <v>0</v>
      </c>
      <c r="F18" s="51">
        <v>0</v>
      </c>
      <c r="G18" s="2"/>
    </row>
    <row r="19" spans="2:7">
      <c r="B19" s="2"/>
      <c r="C19" s="35" t="s">
        <v>240</v>
      </c>
      <c r="D19" s="36"/>
      <c r="E19" s="51">
        <v>0</v>
      </c>
      <c r="F19" s="51">
        <v>0</v>
      </c>
      <c r="G19" s="2"/>
    </row>
    <row r="20" spans="2:7">
      <c r="B20" s="2"/>
      <c r="C20" s="35" t="s">
        <v>241</v>
      </c>
      <c r="D20" s="36"/>
      <c r="E20" s="51">
        <v>0</v>
      </c>
      <c r="F20" s="51">
        <v>0</v>
      </c>
      <c r="G20" s="2"/>
    </row>
    <row r="21" spans="2:7">
      <c r="B21" s="2"/>
      <c r="C21" s="35" t="s">
        <v>242</v>
      </c>
      <c r="D21" s="36"/>
      <c r="E21" s="51">
        <v>0</v>
      </c>
      <c r="F21" s="51">
        <v>0</v>
      </c>
      <c r="G21" s="2"/>
    </row>
    <row r="22" spans="2:7">
      <c r="B22" s="2"/>
      <c r="C22" s="37" t="s">
        <v>243</v>
      </c>
      <c r="D22" s="38"/>
      <c r="E22" s="18">
        <f>E18+E19+E20+E21</f>
        <v>0</v>
      </c>
      <c r="F22" s="18">
        <f>F18+F19+F20+F21</f>
        <v>0</v>
      </c>
      <c r="G22" s="2"/>
    </row>
    <row r="23" spans="2:7">
      <c r="B23" s="2"/>
      <c r="C23" s="37" t="s">
        <v>244</v>
      </c>
      <c r="D23" s="38"/>
      <c r="E23" s="17">
        <f>IFERROR(E22/E16,0)</f>
        <v>0</v>
      </c>
      <c r="F23" s="17">
        <f>IFERROR(F22/F16,0)</f>
        <v>0</v>
      </c>
      <c r="G23" s="2"/>
    </row>
    <row r="24" spans="2:7">
      <c r="B24" s="2"/>
      <c r="C24" s="2"/>
      <c r="D24" s="2"/>
      <c r="E24" s="2"/>
      <c r="F24" s="2"/>
      <c r="G24" s="2"/>
    </row>
    <row r="25" spans="2:7" ht="5.0999999999999996" customHeight="1">
      <c r="B25" s="2"/>
      <c r="C25" s="2"/>
      <c r="D25" s="2"/>
      <c r="E25" s="2"/>
      <c r="F25" s="2"/>
      <c r="G25" s="2"/>
    </row>
  </sheetData>
  <sheetProtection sheet="1" formatColumns="0" formatRows="0" selectLockedCells="1"/>
  <mergeCells count="26">
    <mergeCell ref="C7:F7"/>
    <mergeCell ref="C9:F9"/>
    <mergeCell ref="C10:F10"/>
    <mergeCell ref="C11:F11"/>
    <mergeCell ref="C13:F13"/>
    <mergeCell ref="C14:D15"/>
    <mergeCell ref="E14:E15"/>
    <mergeCell ref="F14:F15"/>
    <mergeCell ref="C16:D16"/>
    <mergeCell ref="E16"/>
    <mergeCell ref="F16"/>
    <mergeCell ref="C17:D17"/>
    <mergeCell ref="C18:D18"/>
    <mergeCell ref="E18"/>
    <mergeCell ref="F18"/>
    <mergeCell ref="C19:D19"/>
    <mergeCell ref="E19"/>
    <mergeCell ref="F19"/>
    <mergeCell ref="C22:D22"/>
    <mergeCell ref="C23:D23"/>
    <mergeCell ref="C20:D20"/>
    <mergeCell ref="E20"/>
    <mergeCell ref="F20"/>
    <mergeCell ref="C21:D21"/>
    <mergeCell ref="E21"/>
    <mergeCell ref="F21"/>
  </mergeCells>
  <dataValidations count="1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9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>
      <c r="B2" s="9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>
      <c r="B9" s="2"/>
      <c r="C9" s="46" t="s">
        <v>245</v>
      </c>
      <c r="D9" s="46"/>
      <c r="E9" s="46"/>
      <c r="F9" s="46"/>
      <c r="G9" s="46"/>
      <c r="H9" s="46"/>
      <c r="I9" s="46"/>
      <c r="J9" s="46"/>
      <c r="K9" s="46"/>
      <c r="L9" s="46"/>
      <c r="M9" s="2"/>
    </row>
    <row r="10" spans="2:13"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"/>
    </row>
    <row r="11" spans="2:13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2"/>
    </row>
    <row r="12" spans="2:1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2"/>
    </row>
    <row r="14" spans="2:13">
      <c r="B14" s="2"/>
      <c r="C14" s="40" t="s">
        <v>246</v>
      </c>
      <c r="D14" s="38"/>
      <c r="E14" s="40" t="str">
        <f>"Dana Perusahaan"</f>
        <v>Dana Perusahaan</v>
      </c>
      <c r="F14" s="38"/>
      <c r="G14" s="40" t="str">
        <f>"Dana Tabarru'"</f>
        <v>Dana Tabarru'</v>
      </c>
      <c r="H14" s="38"/>
      <c r="I14" s="40" t="str">
        <f>"Dana Investasi Peserta"</f>
        <v>Dana Investasi Peserta</v>
      </c>
      <c r="J14" s="38"/>
      <c r="K14" s="43" t="str">
        <f>""</f>
        <v/>
      </c>
      <c r="L14" s="43" t="str">
        <f>"Gabungan"</f>
        <v>Gabungan</v>
      </c>
      <c r="M14" s="2"/>
    </row>
    <row r="15" spans="2:13">
      <c r="B15" s="2"/>
      <c r="C15" s="41"/>
      <c r="D15" s="42"/>
      <c r="E15" s="43" t="str">
        <f>"SAK"</f>
        <v>SAK</v>
      </c>
      <c r="F15" s="43" t="str">
        <f>"SAP"</f>
        <v>SAP</v>
      </c>
      <c r="G15" s="43" t="str">
        <f>"SAK"</f>
        <v>SAK</v>
      </c>
      <c r="H15" s="43" t="str">
        <f>"SAP"</f>
        <v>SAP</v>
      </c>
      <c r="I15" s="43" t="str">
        <f>"SAK"</f>
        <v>SAK</v>
      </c>
      <c r="J15" s="43" t="str">
        <f>"SAP"</f>
        <v>SAP</v>
      </c>
      <c r="K15" s="43" t="str">
        <f>"Penyesuaian"</f>
        <v>Penyesuaian</v>
      </c>
      <c r="L15" s="43" t="str">
        <f>"SAK"</f>
        <v>SAK</v>
      </c>
      <c r="M15" s="2"/>
    </row>
    <row r="16" spans="2:13">
      <c r="B16" s="2"/>
      <c r="C16" s="37" t="s">
        <v>247</v>
      </c>
      <c r="D16" s="38"/>
      <c r="E16" s="18">
        <f t="shared" ref="E16:J16" si="0">E17+E39</f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21">
        <f>0</f>
        <v>0</v>
      </c>
      <c r="L16" s="18">
        <f>L17+L39</f>
        <v>0</v>
      </c>
      <c r="M16" s="2"/>
    </row>
    <row r="17" spans="2:13">
      <c r="B17" s="2"/>
      <c r="C17" s="35" t="s">
        <v>248</v>
      </c>
      <c r="D17" s="36"/>
      <c r="E17" s="18">
        <f t="shared" ref="E17:J17" si="1">SUM(E18:E38)</f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21">
        <f>0</f>
        <v>0</v>
      </c>
      <c r="L17" s="18">
        <f>SUM(L18:L38)</f>
        <v>0</v>
      </c>
      <c r="M17" s="2"/>
    </row>
    <row r="18" spans="2:13">
      <c r="B18" s="2"/>
      <c r="C18" s="32" t="s">
        <v>249</v>
      </c>
      <c r="D18" s="33"/>
      <c r="E18" s="18">
        <f>'DP-R'!E17</f>
        <v>0</v>
      </c>
      <c r="F18" s="18">
        <f>'DP-R'!K17</f>
        <v>0</v>
      </c>
      <c r="G18" s="18">
        <f>DTUR!E17</f>
        <v>0</v>
      </c>
      <c r="H18" s="18">
        <f>DTUR!K17</f>
        <v>0</v>
      </c>
      <c r="I18" s="51">
        <v>0</v>
      </c>
      <c r="J18" s="51">
        <v>0</v>
      </c>
      <c r="K18" s="51">
        <v>0</v>
      </c>
      <c r="L18" s="18">
        <f t="shared" ref="L18:L38" si="2">E18+G18+I18-K18</f>
        <v>0</v>
      </c>
      <c r="M18" s="2"/>
    </row>
    <row r="19" spans="2:13">
      <c r="B19" s="2"/>
      <c r="C19" s="32" t="s">
        <v>250</v>
      </c>
      <c r="D19" s="33"/>
      <c r="E19" s="18">
        <f>'DP-R'!E18</f>
        <v>0</v>
      </c>
      <c r="F19" s="18">
        <f>'DP-R'!K18</f>
        <v>0</v>
      </c>
      <c r="G19" s="18">
        <f>DTUR!E18</f>
        <v>0</v>
      </c>
      <c r="H19" s="18">
        <f>DTUR!K18</f>
        <v>0</v>
      </c>
      <c r="I19" s="51">
        <v>0</v>
      </c>
      <c r="J19" s="51">
        <v>0</v>
      </c>
      <c r="K19" s="51">
        <v>0</v>
      </c>
      <c r="L19" s="18">
        <f t="shared" si="2"/>
        <v>0</v>
      </c>
      <c r="M19" s="2"/>
    </row>
    <row r="20" spans="2:13">
      <c r="B20" s="2"/>
      <c r="C20" s="32" t="s">
        <v>251</v>
      </c>
      <c r="D20" s="33"/>
      <c r="E20" s="18">
        <f>'DP-R'!E19</f>
        <v>0</v>
      </c>
      <c r="F20" s="18">
        <f>'DP-R'!K19</f>
        <v>0</v>
      </c>
      <c r="G20" s="18">
        <f>DTUR!E19</f>
        <v>0</v>
      </c>
      <c r="H20" s="18">
        <f>DTUR!K19</f>
        <v>0</v>
      </c>
      <c r="I20" s="51">
        <v>0</v>
      </c>
      <c r="J20" s="51">
        <v>0</v>
      </c>
      <c r="K20" s="51">
        <v>0</v>
      </c>
      <c r="L20" s="18">
        <f t="shared" si="2"/>
        <v>0</v>
      </c>
      <c r="M20" s="2"/>
    </row>
    <row r="21" spans="2:13">
      <c r="B21" s="2"/>
      <c r="C21" s="32" t="s">
        <v>252</v>
      </c>
      <c r="D21" s="33"/>
      <c r="E21" s="18">
        <f>'DP-R'!E20</f>
        <v>0</v>
      </c>
      <c r="F21" s="18">
        <f>'DP-R'!K20</f>
        <v>0</v>
      </c>
      <c r="G21" s="18">
        <f>DTUR!E20</f>
        <v>0</v>
      </c>
      <c r="H21" s="18">
        <f>DTUR!K20</f>
        <v>0</v>
      </c>
      <c r="I21" s="51">
        <v>0</v>
      </c>
      <c r="J21" s="51">
        <v>0</v>
      </c>
      <c r="K21" s="51">
        <v>0</v>
      </c>
      <c r="L21" s="18">
        <f t="shared" si="2"/>
        <v>0</v>
      </c>
      <c r="M21" s="2"/>
    </row>
    <row r="22" spans="2:13">
      <c r="B22" s="2"/>
      <c r="C22" s="32" t="s">
        <v>253</v>
      </c>
      <c r="D22" s="33"/>
      <c r="E22" s="18">
        <f>'DP-R'!E21</f>
        <v>0</v>
      </c>
      <c r="F22" s="18">
        <f>'DP-R'!K21</f>
        <v>0</v>
      </c>
      <c r="G22" s="18">
        <f>DTUR!E21</f>
        <v>0</v>
      </c>
      <c r="H22" s="18">
        <f>DTUR!K21</f>
        <v>0</v>
      </c>
      <c r="I22" s="51">
        <v>0</v>
      </c>
      <c r="J22" s="51">
        <v>0</v>
      </c>
      <c r="K22" s="51">
        <v>0</v>
      </c>
      <c r="L22" s="18">
        <f t="shared" si="2"/>
        <v>0</v>
      </c>
      <c r="M22" s="2"/>
    </row>
    <row r="23" spans="2:13">
      <c r="B23" s="2"/>
      <c r="C23" s="32" t="s">
        <v>254</v>
      </c>
      <c r="D23" s="33"/>
      <c r="E23" s="18">
        <f>'DP-R'!E22</f>
        <v>0</v>
      </c>
      <c r="F23" s="18">
        <f>'DP-R'!K22</f>
        <v>0</v>
      </c>
      <c r="G23" s="18">
        <f>DTUR!E22</f>
        <v>0</v>
      </c>
      <c r="H23" s="18">
        <f>DTUR!K22</f>
        <v>0</v>
      </c>
      <c r="I23" s="51">
        <v>0</v>
      </c>
      <c r="J23" s="51">
        <v>0</v>
      </c>
      <c r="K23" s="51">
        <v>0</v>
      </c>
      <c r="L23" s="18">
        <f t="shared" si="2"/>
        <v>0</v>
      </c>
      <c r="M23" s="2"/>
    </row>
    <row r="24" spans="2:13">
      <c r="B24" s="2"/>
      <c r="C24" s="32" t="s">
        <v>255</v>
      </c>
      <c r="D24" s="33"/>
      <c r="E24" s="18">
        <f>'DP-R'!E23</f>
        <v>0</v>
      </c>
      <c r="F24" s="18">
        <f>'DP-R'!K23</f>
        <v>0</v>
      </c>
      <c r="G24" s="18">
        <f>DTUR!E23</f>
        <v>0</v>
      </c>
      <c r="H24" s="18">
        <f>DTUR!K23</f>
        <v>0</v>
      </c>
      <c r="I24" s="51">
        <v>0</v>
      </c>
      <c r="J24" s="51">
        <v>0</v>
      </c>
      <c r="K24" s="51">
        <v>0</v>
      </c>
      <c r="L24" s="18">
        <f t="shared" si="2"/>
        <v>0</v>
      </c>
      <c r="M24" s="2"/>
    </row>
    <row r="25" spans="2:13">
      <c r="B25" s="2"/>
      <c r="C25" s="32" t="s">
        <v>256</v>
      </c>
      <c r="D25" s="33"/>
      <c r="E25" s="18">
        <f>'DP-R'!E24</f>
        <v>0</v>
      </c>
      <c r="F25" s="18">
        <f>'DP-R'!K24</f>
        <v>0</v>
      </c>
      <c r="G25" s="18">
        <f>DTUR!E24</f>
        <v>0</v>
      </c>
      <c r="H25" s="18">
        <f>DTUR!K24</f>
        <v>0</v>
      </c>
      <c r="I25" s="51">
        <v>0</v>
      </c>
      <c r="J25" s="51">
        <v>0</v>
      </c>
      <c r="K25" s="51">
        <v>0</v>
      </c>
      <c r="L25" s="18">
        <f t="shared" si="2"/>
        <v>0</v>
      </c>
      <c r="M25" s="2"/>
    </row>
    <row r="26" spans="2:13">
      <c r="B26" s="2"/>
      <c r="C26" s="32" t="s">
        <v>257</v>
      </c>
      <c r="D26" s="33"/>
      <c r="E26" s="18">
        <f>'DP-R'!E25</f>
        <v>0</v>
      </c>
      <c r="F26" s="18">
        <f>'DP-R'!K25</f>
        <v>0</v>
      </c>
      <c r="G26" s="18">
        <f>DTUR!E25</f>
        <v>0</v>
      </c>
      <c r="H26" s="18">
        <f>DTUR!K25</f>
        <v>0</v>
      </c>
      <c r="I26" s="51">
        <v>0</v>
      </c>
      <c r="J26" s="51">
        <v>0</v>
      </c>
      <c r="K26" s="51">
        <v>0</v>
      </c>
      <c r="L26" s="18">
        <f t="shared" si="2"/>
        <v>0</v>
      </c>
      <c r="M26" s="2"/>
    </row>
    <row r="27" spans="2:13">
      <c r="B27" s="2"/>
      <c r="C27" s="32" t="s">
        <v>258</v>
      </c>
      <c r="D27" s="33"/>
      <c r="E27" s="18">
        <f>'DP-R'!E26</f>
        <v>0</v>
      </c>
      <c r="F27" s="18">
        <f>'DP-R'!K26</f>
        <v>0</v>
      </c>
      <c r="G27" s="18">
        <f>DTUR!E26</f>
        <v>0</v>
      </c>
      <c r="H27" s="18">
        <f>DTUR!K26</f>
        <v>0</v>
      </c>
      <c r="I27" s="51">
        <v>0</v>
      </c>
      <c r="J27" s="51">
        <v>0</v>
      </c>
      <c r="K27" s="51">
        <v>0</v>
      </c>
      <c r="L27" s="18">
        <f t="shared" si="2"/>
        <v>0</v>
      </c>
      <c r="M27" s="2"/>
    </row>
    <row r="28" spans="2:13">
      <c r="B28" s="2"/>
      <c r="C28" s="32" t="s">
        <v>259</v>
      </c>
      <c r="D28" s="33"/>
      <c r="E28" s="18">
        <f>'DP-R'!E27</f>
        <v>0</v>
      </c>
      <c r="F28" s="18">
        <f>'DP-R'!K27</f>
        <v>0</v>
      </c>
      <c r="G28" s="18">
        <f>DTUR!E27</f>
        <v>0</v>
      </c>
      <c r="H28" s="18">
        <f>DTUR!K27</f>
        <v>0</v>
      </c>
      <c r="I28" s="51">
        <v>0</v>
      </c>
      <c r="J28" s="51">
        <v>0</v>
      </c>
      <c r="K28" s="51">
        <v>0</v>
      </c>
      <c r="L28" s="18">
        <f t="shared" si="2"/>
        <v>0</v>
      </c>
      <c r="M28" s="2"/>
    </row>
    <row r="29" spans="2:13">
      <c r="B29" s="2"/>
      <c r="C29" s="32" t="s">
        <v>260</v>
      </c>
      <c r="D29" s="33"/>
      <c r="E29" s="18">
        <f>'DP-R'!E28</f>
        <v>0</v>
      </c>
      <c r="F29" s="18">
        <f>'DP-R'!K28</f>
        <v>0</v>
      </c>
      <c r="G29" s="18">
        <f>DTUR!E28</f>
        <v>0</v>
      </c>
      <c r="H29" s="18">
        <f>DTUR!K28</f>
        <v>0</v>
      </c>
      <c r="I29" s="51">
        <v>0</v>
      </c>
      <c r="J29" s="51">
        <v>0</v>
      </c>
      <c r="K29" s="51">
        <v>0</v>
      </c>
      <c r="L29" s="18">
        <f t="shared" si="2"/>
        <v>0</v>
      </c>
      <c r="M29" s="2"/>
    </row>
    <row r="30" spans="2:13">
      <c r="B30" s="2"/>
      <c r="C30" s="32" t="s">
        <v>261</v>
      </c>
      <c r="D30" s="33"/>
      <c r="E30" s="18">
        <f>'DP-R'!E29</f>
        <v>0</v>
      </c>
      <c r="F30" s="18">
        <f>'DP-R'!K29</f>
        <v>0</v>
      </c>
      <c r="G30" s="18">
        <f>DTUR!E29</f>
        <v>0</v>
      </c>
      <c r="H30" s="18">
        <f>DTUR!K29</f>
        <v>0</v>
      </c>
      <c r="I30" s="51">
        <v>0</v>
      </c>
      <c r="J30" s="51">
        <v>0</v>
      </c>
      <c r="K30" s="51">
        <v>0</v>
      </c>
      <c r="L30" s="18">
        <f t="shared" si="2"/>
        <v>0</v>
      </c>
      <c r="M30" s="2"/>
    </row>
    <row r="31" spans="2:13">
      <c r="B31" s="2"/>
      <c r="C31" s="32" t="s">
        <v>262</v>
      </c>
      <c r="D31" s="33"/>
      <c r="E31" s="18">
        <f>'DP-R'!E30</f>
        <v>0</v>
      </c>
      <c r="F31" s="18">
        <f>'DP-R'!K30</f>
        <v>0</v>
      </c>
      <c r="G31" s="18">
        <f>DTUR!E30</f>
        <v>0</v>
      </c>
      <c r="H31" s="18">
        <f>DTUR!K30</f>
        <v>0</v>
      </c>
      <c r="I31" s="51">
        <v>0</v>
      </c>
      <c r="J31" s="51">
        <v>0</v>
      </c>
      <c r="K31" s="51">
        <v>0</v>
      </c>
      <c r="L31" s="18">
        <f t="shared" si="2"/>
        <v>0</v>
      </c>
      <c r="M31" s="2"/>
    </row>
    <row r="32" spans="2:13">
      <c r="B32" s="2"/>
      <c r="C32" s="32" t="s">
        <v>263</v>
      </c>
      <c r="D32" s="33"/>
      <c r="E32" s="18">
        <f>'DP-R'!E31</f>
        <v>0</v>
      </c>
      <c r="F32" s="18">
        <f>'DP-R'!K31</f>
        <v>0</v>
      </c>
      <c r="G32" s="18">
        <f>0</f>
        <v>0</v>
      </c>
      <c r="H32" s="18">
        <f>0</f>
        <v>0</v>
      </c>
      <c r="I32" s="18">
        <f>0</f>
        <v>0</v>
      </c>
      <c r="J32" s="18">
        <f>0</f>
        <v>0</v>
      </c>
      <c r="K32" s="51">
        <v>0</v>
      </c>
      <c r="L32" s="18">
        <f t="shared" si="2"/>
        <v>0</v>
      </c>
      <c r="M32" s="2"/>
    </row>
    <row r="33" spans="2:13">
      <c r="B33" s="2"/>
      <c r="C33" s="32" t="s">
        <v>264</v>
      </c>
      <c r="D33" s="33"/>
      <c r="E33" s="18">
        <f>'DP-R'!E32</f>
        <v>0</v>
      </c>
      <c r="F33" s="18">
        <f>'DP-R'!K32</f>
        <v>0</v>
      </c>
      <c r="G33" s="18">
        <f>0</f>
        <v>0</v>
      </c>
      <c r="H33" s="18">
        <f>0</f>
        <v>0</v>
      </c>
      <c r="I33" s="18">
        <f>0</f>
        <v>0</v>
      </c>
      <c r="J33" s="18">
        <f>0</f>
        <v>0</v>
      </c>
      <c r="K33" s="51">
        <v>0</v>
      </c>
      <c r="L33" s="18">
        <f t="shared" si="2"/>
        <v>0</v>
      </c>
      <c r="M33" s="2"/>
    </row>
    <row r="34" spans="2:13">
      <c r="B34" s="2"/>
      <c r="C34" s="32" t="s">
        <v>265</v>
      </c>
      <c r="D34" s="33"/>
      <c r="E34" s="18">
        <f>'DP-R'!E33</f>
        <v>0</v>
      </c>
      <c r="F34" s="18">
        <f>'DP-R'!K33</f>
        <v>0</v>
      </c>
      <c r="G34" s="18">
        <f>0</f>
        <v>0</v>
      </c>
      <c r="H34" s="18">
        <f>0</f>
        <v>0</v>
      </c>
      <c r="I34" s="18">
        <f>0</f>
        <v>0</v>
      </c>
      <c r="J34" s="18">
        <f>0</f>
        <v>0</v>
      </c>
      <c r="K34" s="51">
        <v>0</v>
      </c>
      <c r="L34" s="18">
        <f t="shared" si="2"/>
        <v>0</v>
      </c>
      <c r="M34" s="2"/>
    </row>
    <row r="35" spans="2:13">
      <c r="B35" s="2"/>
      <c r="C35" s="32" t="s">
        <v>266</v>
      </c>
      <c r="D35" s="33"/>
      <c r="E35" s="18">
        <f>'DP-R'!E34</f>
        <v>0</v>
      </c>
      <c r="F35" s="18">
        <f>'DP-R'!K34</f>
        <v>0</v>
      </c>
      <c r="G35" s="18">
        <f>DTUR!E31</f>
        <v>0</v>
      </c>
      <c r="H35" s="18">
        <f>DTUR!K31</f>
        <v>0</v>
      </c>
      <c r="I35" s="51">
        <v>0</v>
      </c>
      <c r="J35" s="51">
        <v>0</v>
      </c>
      <c r="K35" s="51">
        <v>0</v>
      </c>
      <c r="L35" s="18">
        <f t="shared" si="2"/>
        <v>0</v>
      </c>
      <c r="M35" s="2"/>
    </row>
    <row r="36" spans="2:13">
      <c r="B36" s="2"/>
      <c r="C36" s="32" t="s">
        <v>267</v>
      </c>
      <c r="D36" s="33"/>
      <c r="E36" s="18">
        <f>'DP-R'!E35</f>
        <v>0</v>
      </c>
      <c r="F36" s="18">
        <f>'DP-R'!K35</f>
        <v>0</v>
      </c>
      <c r="G36" s="18">
        <f>DTUR!E32</f>
        <v>0</v>
      </c>
      <c r="H36" s="18">
        <f>DTUR!K32</f>
        <v>0</v>
      </c>
      <c r="I36" s="51">
        <v>0</v>
      </c>
      <c r="J36" s="51">
        <v>0</v>
      </c>
      <c r="K36" s="51">
        <v>0</v>
      </c>
      <c r="L36" s="18">
        <f t="shared" si="2"/>
        <v>0</v>
      </c>
      <c r="M36" s="2"/>
    </row>
    <row r="37" spans="2:13">
      <c r="B37" s="2"/>
      <c r="C37" s="32" t="s">
        <v>268</v>
      </c>
      <c r="D37" s="33"/>
      <c r="E37" s="18">
        <f>'DP-R'!E36</f>
        <v>0</v>
      </c>
      <c r="F37" s="18">
        <f>'DP-R'!K36</f>
        <v>0</v>
      </c>
      <c r="G37" s="18">
        <f>DTUR!E33</f>
        <v>0</v>
      </c>
      <c r="H37" s="18">
        <f>DTUR!K33</f>
        <v>0</v>
      </c>
      <c r="I37" s="51">
        <v>0</v>
      </c>
      <c r="J37" s="51">
        <v>0</v>
      </c>
      <c r="K37" s="51">
        <v>0</v>
      </c>
      <c r="L37" s="18">
        <f t="shared" si="2"/>
        <v>0</v>
      </c>
      <c r="M37" s="2"/>
    </row>
    <row r="38" spans="2:13">
      <c r="B38" s="2"/>
      <c r="C38" s="32" t="s">
        <v>269</v>
      </c>
      <c r="D38" s="33"/>
      <c r="E38" s="18">
        <f>'DP-R'!E37</f>
        <v>0</v>
      </c>
      <c r="F38" s="18">
        <f>0</f>
        <v>0</v>
      </c>
      <c r="G38" s="18">
        <f>DTUR!E34</f>
        <v>0</v>
      </c>
      <c r="H38" s="18">
        <f>0</f>
        <v>0</v>
      </c>
      <c r="I38" s="51">
        <v>0</v>
      </c>
      <c r="J38" s="18">
        <f>0</f>
        <v>0</v>
      </c>
      <c r="K38" s="51">
        <v>0</v>
      </c>
      <c r="L38" s="18">
        <f t="shared" si="2"/>
        <v>0</v>
      </c>
      <c r="M38" s="2"/>
    </row>
    <row r="39" spans="2:13">
      <c r="B39" s="2"/>
      <c r="C39" s="35" t="s">
        <v>270</v>
      </c>
      <c r="D39" s="36"/>
      <c r="E39" s="18">
        <f t="shared" ref="E39:J39" si="3">SUM(E40:E45)</f>
        <v>0</v>
      </c>
      <c r="F39" s="18">
        <f t="shared" si="3"/>
        <v>0</v>
      </c>
      <c r="G39" s="18">
        <f t="shared" si="3"/>
        <v>0</v>
      </c>
      <c r="H39" s="18">
        <f t="shared" si="3"/>
        <v>0</v>
      </c>
      <c r="I39" s="18">
        <f t="shared" si="3"/>
        <v>0</v>
      </c>
      <c r="J39" s="18">
        <f t="shared" si="3"/>
        <v>0</v>
      </c>
      <c r="K39" s="21">
        <f>0</f>
        <v>0</v>
      </c>
      <c r="L39" s="18">
        <f>SUM(L40:L45)</f>
        <v>0</v>
      </c>
      <c r="M39" s="2"/>
    </row>
    <row r="40" spans="2:13">
      <c r="B40" s="2"/>
      <c r="C40" s="32" t="s">
        <v>271</v>
      </c>
      <c r="D40" s="33"/>
      <c r="E40" s="18">
        <f>'DP-R'!E40</f>
        <v>0</v>
      </c>
      <c r="F40" s="18">
        <f>'DP-R'!K40</f>
        <v>0</v>
      </c>
      <c r="G40" s="18">
        <f>DTUR!E37</f>
        <v>0</v>
      </c>
      <c r="H40" s="18">
        <f>DTUR!K37</f>
        <v>0</v>
      </c>
      <c r="I40" s="51">
        <v>0</v>
      </c>
      <c r="J40" s="51">
        <v>0</v>
      </c>
      <c r="K40" s="51">
        <v>0</v>
      </c>
      <c r="L40" s="18">
        <f t="shared" ref="L40:L45" si="4">E40+G40+I40-K40</f>
        <v>0</v>
      </c>
      <c r="M40" s="2"/>
    </row>
    <row r="41" spans="2:13">
      <c r="B41" s="2"/>
      <c r="C41" s="32" t="s">
        <v>272</v>
      </c>
      <c r="D41" s="33"/>
      <c r="E41" s="18">
        <f>SUM('DP-R'!E41:E43)</f>
        <v>0</v>
      </c>
      <c r="F41" s="18">
        <f>SUM('DP-R'!K41:K43)</f>
        <v>0</v>
      </c>
      <c r="G41" s="18">
        <f>SUM(DTUR!E38:E42)</f>
        <v>0</v>
      </c>
      <c r="H41" s="18">
        <f>SUM(DTUR!K38:K42)</f>
        <v>0</v>
      </c>
      <c r="I41" s="51">
        <v>0</v>
      </c>
      <c r="J41" s="51">
        <v>0</v>
      </c>
      <c r="K41" s="51">
        <v>0</v>
      </c>
      <c r="L41" s="18">
        <f t="shared" si="4"/>
        <v>0</v>
      </c>
      <c r="M41" s="2"/>
    </row>
    <row r="42" spans="2:13">
      <c r="B42" s="2"/>
      <c r="C42" s="32" t="s">
        <v>273</v>
      </c>
      <c r="D42" s="33"/>
      <c r="E42" s="18">
        <f>'DP-R'!E44</f>
        <v>0</v>
      </c>
      <c r="F42" s="18">
        <f>'DP-R'!K44</f>
        <v>0</v>
      </c>
      <c r="G42" s="18">
        <f>DTUR!E43</f>
        <v>0</v>
      </c>
      <c r="H42" s="18">
        <f>DTUR!K43</f>
        <v>0</v>
      </c>
      <c r="I42" s="18">
        <f>0</f>
        <v>0</v>
      </c>
      <c r="J42" s="18">
        <f>0</f>
        <v>0</v>
      </c>
      <c r="K42" s="51">
        <v>0</v>
      </c>
      <c r="L42" s="18">
        <f t="shared" si="4"/>
        <v>0</v>
      </c>
      <c r="M42" s="2"/>
    </row>
    <row r="43" spans="2:13">
      <c r="B43" s="2"/>
      <c r="C43" s="32" t="s">
        <v>274</v>
      </c>
      <c r="D43" s="33"/>
      <c r="E43" s="18">
        <f>'DP-R'!E45</f>
        <v>0</v>
      </c>
      <c r="F43" s="18">
        <f>'DP-R'!K45</f>
        <v>0</v>
      </c>
      <c r="G43" s="18">
        <f>0</f>
        <v>0</v>
      </c>
      <c r="H43" s="18">
        <f>0</f>
        <v>0</v>
      </c>
      <c r="I43" s="18">
        <f>0</f>
        <v>0</v>
      </c>
      <c r="J43" s="18">
        <f>0</f>
        <v>0</v>
      </c>
      <c r="K43" s="51">
        <v>0</v>
      </c>
      <c r="L43" s="18">
        <f t="shared" si="4"/>
        <v>0</v>
      </c>
      <c r="M43" s="2"/>
    </row>
    <row r="44" spans="2:13">
      <c r="B44" s="2"/>
      <c r="C44" s="32" t="s">
        <v>275</v>
      </c>
      <c r="D44" s="33"/>
      <c r="E44" s="18">
        <f>'DP-R'!E46</f>
        <v>0</v>
      </c>
      <c r="F44" s="18">
        <f>'DP-R'!K46</f>
        <v>0</v>
      </c>
      <c r="G44" s="18">
        <f>0</f>
        <v>0</v>
      </c>
      <c r="H44" s="18">
        <f>0</f>
        <v>0</v>
      </c>
      <c r="I44" s="18">
        <f>0</f>
        <v>0</v>
      </c>
      <c r="J44" s="18">
        <f>0</f>
        <v>0</v>
      </c>
      <c r="K44" s="51">
        <v>0</v>
      </c>
      <c r="L44" s="18">
        <f t="shared" si="4"/>
        <v>0</v>
      </c>
      <c r="M44" s="2"/>
    </row>
    <row r="45" spans="2:13">
      <c r="B45" s="2"/>
      <c r="C45" s="32" t="s">
        <v>276</v>
      </c>
      <c r="D45" s="33"/>
      <c r="E45" s="18">
        <f>'DP-R'!E47</f>
        <v>0</v>
      </c>
      <c r="F45" s="21">
        <f>0</f>
        <v>0</v>
      </c>
      <c r="G45" s="18">
        <f>DTUR!E44</f>
        <v>0</v>
      </c>
      <c r="H45" s="18">
        <f>0</f>
        <v>0</v>
      </c>
      <c r="I45" s="51">
        <v>0</v>
      </c>
      <c r="J45" s="18">
        <f>0</f>
        <v>0</v>
      </c>
      <c r="K45" s="51">
        <v>0</v>
      </c>
      <c r="L45" s="18">
        <f t="shared" si="4"/>
        <v>0</v>
      </c>
      <c r="M45" s="2"/>
    </row>
    <row r="46" spans="2:13">
      <c r="B46" s="2"/>
      <c r="C46" s="37" t="s">
        <v>277</v>
      </c>
      <c r="D46" s="38"/>
      <c r="E46" s="18">
        <f t="shared" ref="E46:J46" si="5">E47+E58+E59</f>
        <v>0</v>
      </c>
      <c r="F46" s="18">
        <f t="shared" si="5"/>
        <v>0</v>
      </c>
      <c r="G46" s="18">
        <f t="shared" si="5"/>
        <v>0</v>
      </c>
      <c r="H46" s="18">
        <f t="shared" si="5"/>
        <v>0</v>
      </c>
      <c r="I46" s="18">
        <f t="shared" si="5"/>
        <v>0</v>
      </c>
      <c r="J46" s="18">
        <f t="shared" si="5"/>
        <v>0</v>
      </c>
      <c r="K46" s="21">
        <f>0</f>
        <v>0</v>
      </c>
      <c r="L46" s="18">
        <f>L47+L58+L59</f>
        <v>0</v>
      </c>
      <c r="M46" s="2"/>
    </row>
    <row r="47" spans="2:13">
      <c r="B47" s="2"/>
      <c r="C47" s="35" t="s">
        <v>278</v>
      </c>
      <c r="D47" s="36"/>
      <c r="E47" s="18">
        <f t="shared" ref="E47:J47" si="6">SUM(E48:E51)</f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 s="18">
        <f t="shared" si="6"/>
        <v>0</v>
      </c>
      <c r="J47" s="18">
        <f t="shared" si="6"/>
        <v>0</v>
      </c>
      <c r="K47" s="21">
        <f>0</f>
        <v>0</v>
      </c>
      <c r="L47" s="18">
        <f>SUM(L48:L51)</f>
        <v>0</v>
      </c>
      <c r="M47" s="2"/>
    </row>
    <row r="48" spans="2:13">
      <c r="B48" s="2"/>
      <c r="C48" s="32" t="s">
        <v>279</v>
      </c>
      <c r="D48" s="33"/>
      <c r="E48" s="18">
        <f>0</f>
        <v>0</v>
      </c>
      <c r="F48" s="18">
        <f>0</f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18">
        <f>E48+G48+I48-K48</f>
        <v>0</v>
      </c>
      <c r="M48" s="2"/>
    </row>
    <row r="49" spans="2:13">
      <c r="B49" s="2"/>
      <c r="C49" s="32" t="s">
        <v>280</v>
      </c>
      <c r="D49" s="33"/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18">
        <f>E49+G49+I49-K49</f>
        <v>0</v>
      </c>
      <c r="M49" s="2"/>
    </row>
    <row r="50" spans="2:13">
      <c r="B50" s="2"/>
      <c r="C50" s="32" t="s">
        <v>281</v>
      </c>
      <c r="D50" s="33"/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18">
        <f>E50+G50+I50-K50</f>
        <v>0</v>
      </c>
      <c r="M50" s="2"/>
    </row>
    <row r="51" spans="2:13">
      <c r="B51" s="2"/>
      <c r="C51" s="32" t="s">
        <v>282</v>
      </c>
      <c r="D51" s="33"/>
      <c r="E51" s="18">
        <f>SUM(E52:E57)</f>
        <v>0</v>
      </c>
      <c r="F51" s="18">
        <f>SUM(F52:F57)</f>
        <v>0</v>
      </c>
      <c r="G51" s="18">
        <f>SUM(G52:G57)</f>
        <v>0</v>
      </c>
      <c r="H51" s="18">
        <f>SUM(H52:H57)</f>
        <v>0</v>
      </c>
      <c r="I51" s="18">
        <f>0</f>
        <v>0</v>
      </c>
      <c r="J51" s="18">
        <f>0</f>
        <v>0</v>
      </c>
      <c r="K51" s="21">
        <f>0</f>
        <v>0</v>
      </c>
      <c r="L51" s="18">
        <f>SUM(L52:L57)</f>
        <v>0</v>
      </c>
      <c r="M51" s="2"/>
    </row>
    <row r="52" spans="2:13">
      <c r="B52" s="2"/>
      <c r="C52" s="55" t="s">
        <v>283</v>
      </c>
      <c r="D52" s="56"/>
      <c r="E52" s="51">
        <v>0</v>
      </c>
      <c r="F52" s="51">
        <v>0</v>
      </c>
      <c r="G52" s="18">
        <f>0</f>
        <v>0</v>
      </c>
      <c r="H52" s="18">
        <f>0</f>
        <v>0</v>
      </c>
      <c r="I52" s="18">
        <f>0</f>
        <v>0</v>
      </c>
      <c r="J52" s="18">
        <f>0</f>
        <v>0</v>
      </c>
      <c r="K52" s="51">
        <v>0</v>
      </c>
      <c r="L52" s="18">
        <f t="shared" ref="L52:L58" si="7">E52+G52+I52-K52</f>
        <v>0</v>
      </c>
      <c r="M52" s="2"/>
    </row>
    <row r="53" spans="2:13">
      <c r="B53" s="2"/>
      <c r="C53" s="55" t="s">
        <v>284</v>
      </c>
      <c r="D53" s="56"/>
      <c r="E53" s="51">
        <v>0</v>
      </c>
      <c r="F53" s="51">
        <v>0</v>
      </c>
      <c r="G53" s="18">
        <f>0</f>
        <v>0</v>
      </c>
      <c r="H53" s="18">
        <f>0</f>
        <v>0</v>
      </c>
      <c r="I53" s="18">
        <f>0</f>
        <v>0</v>
      </c>
      <c r="J53" s="18">
        <f>0</f>
        <v>0</v>
      </c>
      <c r="K53" s="51">
        <v>0</v>
      </c>
      <c r="L53" s="18">
        <f t="shared" si="7"/>
        <v>0</v>
      </c>
      <c r="M53" s="2"/>
    </row>
    <row r="54" spans="2:13">
      <c r="B54" s="2"/>
      <c r="C54" s="55" t="s">
        <v>285</v>
      </c>
      <c r="D54" s="56"/>
      <c r="E54" s="18">
        <f>0</f>
        <v>0</v>
      </c>
      <c r="F54" s="18">
        <f>0</f>
        <v>0</v>
      </c>
      <c r="G54" s="51">
        <v>0</v>
      </c>
      <c r="H54" s="18">
        <f>'DTUR-1'!F17</f>
        <v>0</v>
      </c>
      <c r="I54" s="18">
        <f>0</f>
        <v>0</v>
      </c>
      <c r="J54" s="18">
        <f>0</f>
        <v>0</v>
      </c>
      <c r="K54" s="51">
        <v>0</v>
      </c>
      <c r="L54" s="18">
        <f t="shared" si="7"/>
        <v>0</v>
      </c>
      <c r="M54" s="2"/>
    </row>
    <row r="55" spans="2:13">
      <c r="B55" s="2"/>
      <c r="C55" s="55" t="s">
        <v>286</v>
      </c>
      <c r="D55" s="56"/>
      <c r="E55" s="18">
        <f>0</f>
        <v>0</v>
      </c>
      <c r="F55" s="18">
        <f>0</f>
        <v>0</v>
      </c>
      <c r="G55" s="51">
        <v>0</v>
      </c>
      <c r="H55" s="18">
        <f>'DTUR-1'!F18</f>
        <v>0</v>
      </c>
      <c r="I55" s="18">
        <f>0</f>
        <v>0</v>
      </c>
      <c r="J55" s="18">
        <f>0</f>
        <v>0</v>
      </c>
      <c r="K55" s="51">
        <v>0</v>
      </c>
      <c r="L55" s="18">
        <f t="shared" si="7"/>
        <v>0</v>
      </c>
      <c r="M55" s="2"/>
    </row>
    <row r="56" spans="2:13">
      <c r="B56" s="2"/>
      <c r="C56" s="55" t="s">
        <v>287</v>
      </c>
      <c r="D56" s="56"/>
      <c r="E56" s="18">
        <f>0</f>
        <v>0</v>
      </c>
      <c r="F56" s="18">
        <f>0</f>
        <v>0</v>
      </c>
      <c r="G56" s="51">
        <v>0</v>
      </c>
      <c r="H56" s="18">
        <f>'DTUR-1'!F19</f>
        <v>0</v>
      </c>
      <c r="I56" s="18">
        <f>0</f>
        <v>0</v>
      </c>
      <c r="J56" s="18">
        <f>0</f>
        <v>0</v>
      </c>
      <c r="K56" s="51">
        <v>0</v>
      </c>
      <c r="L56" s="18">
        <f t="shared" si="7"/>
        <v>0</v>
      </c>
      <c r="M56" s="2"/>
    </row>
    <row r="57" spans="2:13">
      <c r="B57" s="2"/>
      <c r="C57" s="55" t="s">
        <v>288</v>
      </c>
      <c r="D57" s="56"/>
      <c r="E57" s="18">
        <f>0</f>
        <v>0</v>
      </c>
      <c r="F57" s="18">
        <f>0</f>
        <v>0</v>
      </c>
      <c r="G57" s="51">
        <v>0</v>
      </c>
      <c r="H57" s="18">
        <f>'DTUR-1'!F20</f>
        <v>0</v>
      </c>
      <c r="I57" s="18">
        <f>0</f>
        <v>0</v>
      </c>
      <c r="J57" s="18">
        <f>0</f>
        <v>0</v>
      </c>
      <c r="K57" s="51">
        <v>0</v>
      </c>
      <c r="L57" s="18">
        <f t="shared" si="7"/>
        <v>0</v>
      </c>
      <c r="M57" s="2"/>
    </row>
    <row r="58" spans="2:13">
      <c r="B58" s="2"/>
      <c r="C58" s="35" t="s">
        <v>289</v>
      </c>
      <c r="D58" s="36"/>
      <c r="E58" s="51">
        <v>0</v>
      </c>
      <c r="F58" s="51">
        <v>0</v>
      </c>
      <c r="G58" s="51">
        <v>0</v>
      </c>
      <c r="H58" s="51">
        <v>0</v>
      </c>
      <c r="I58" s="18">
        <f>0</f>
        <v>0</v>
      </c>
      <c r="J58" s="18">
        <f>0</f>
        <v>0</v>
      </c>
      <c r="K58" s="51">
        <v>0</v>
      </c>
      <c r="L58" s="18">
        <f t="shared" si="7"/>
        <v>0</v>
      </c>
      <c r="M58" s="2"/>
    </row>
    <row r="59" spans="2:13">
      <c r="B59" s="2"/>
      <c r="C59" s="35" t="s">
        <v>290</v>
      </c>
      <c r="D59" s="36"/>
      <c r="E59" s="18">
        <f t="shared" ref="E59:J59" si="8">SUM(E60:E67)</f>
        <v>0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0</v>
      </c>
      <c r="J59" s="18">
        <f t="shared" si="8"/>
        <v>0</v>
      </c>
      <c r="K59" s="21">
        <f>0</f>
        <v>0</v>
      </c>
      <c r="L59" s="18">
        <f>SUM(L60:L67)</f>
        <v>0</v>
      </c>
      <c r="M59" s="2"/>
    </row>
    <row r="60" spans="2:13">
      <c r="B60" s="2"/>
      <c r="C60" s="32" t="s">
        <v>291</v>
      </c>
      <c r="D60" s="33"/>
      <c r="E60" s="51">
        <v>0</v>
      </c>
      <c r="F60" s="51">
        <v>0</v>
      </c>
      <c r="G60" s="18">
        <f>0</f>
        <v>0</v>
      </c>
      <c r="H60" s="18">
        <f>0</f>
        <v>0</v>
      </c>
      <c r="I60" s="18">
        <f>0</f>
        <v>0</v>
      </c>
      <c r="J60" s="18">
        <f>0</f>
        <v>0</v>
      </c>
      <c r="K60" s="51">
        <v>0</v>
      </c>
      <c r="L60" s="18">
        <f t="shared" ref="L60:L65" si="9">E60+G60+I60-K60</f>
        <v>0</v>
      </c>
      <c r="M60" s="2"/>
    </row>
    <row r="61" spans="2:13">
      <c r="B61" s="2"/>
      <c r="C61" s="32" t="s">
        <v>292</v>
      </c>
      <c r="D61" s="33"/>
      <c r="E61" s="51">
        <v>0</v>
      </c>
      <c r="F61" s="51">
        <v>0</v>
      </c>
      <c r="G61" s="18">
        <f>0</f>
        <v>0</v>
      </c>
      <c r="H61" s="18">
        <f>0</f>
        <v>0</v>
      </c>
      <c r="I61" s="18">
        <f>0</f>
        <v>0</v>
      </c>
      <c r="J61" s="18">
        <f>0</f>
        <v>0</v>
      </c>
      <c r="K61" s="51">
        <v>0</v>
      </c>
      <c r="L61" s="18">
        <f t="shared" si="9"/>
        <v>0</v>
      </c>
      <c r="M61" s="2"/>
    </row>
    <row r="62" spans="2:13">
      <c r="B62" s="2"/>
      <c r="C62" s="32" t="s">
        <v>293</v>
      </c>
      <c r="D62" s="33"/>
      <c r="E62" s="18">
        <f>0</f>
        <v>0</v>
      </c>
      <c r="F62" s="18">
        <f>0</f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18">
        <f t="shared" si="9"/>
        <v>0</v>
      </c>
      <c r="M62" s="2"/>
    </row>
    <row r="63" spans="2:13">
      <c r="B63" s="2"/>
      <c r="C63" s="32" t="s">
        <v>294</v>
      </c>
      <c r="D63" s="33"/>
      <c r="E63" s="21">
        <f>0</f>
        <v>0</v>
      </c>
      <c r="F63" s="21">
        <f>0</f>
        <v>0</v>
      </c>
      <c r="G63" s="21">
        <f>0</f>
        <v>0</v>
      </c>
      <c r="H63" s="21">
        <f>0</f>
        <v>0</v>
      </c>
      <c r="I63" s="51">
        <v>0</v>
      </c>
      <c r="J63" s="51">
        <v>0</v>
      </c>
      <c r="K63" s="51">
        <v>0</v>
      </c>
      <c r="L63" s="18">
        <f t="shared" si="9"/>
        <v>0</v>
      </c>
      <c r="M63" s="2"/>
    </row>
    <row r="64" spans="2:13">
      <c r="B64" s="2"/>
      <c r="C64" s="32" t="s">
        <v>295</v>
      </c>
      <c r="D64" s="33"/>
      <c r="E64" s="51">
        <v>0</v>
      </c>
      <c r="F64" s="51">
        <v>0</v>
      </c>
      <c r="G64" s="18">
        <f>0</f>
        <v>0</v>
      </c>
      <c r="H64" s="18">
        <f>0</f>
        <v>0</v>
      </c>
      <c r="I64" s="18">
        <f>0</f>
        <v>0</v>
      </c>
      <c r="J64" s="18">
        <f>0</f>
        <v>0</v>
      </c>
      <c r="K64" s="18">
        <f>0</f>
        <v>0</v>
      </c>
      <c r="L64" s="18">
        <f t="shared" si="9"/>
        <v>0</v>
      </c>
      <c r="M64" s="2"/>
    </row>
    <row r="65" spans="2:13">
      <c r="B65" s="2"/>
      <c r="C65" s="32" t="s">
        <v>296</v>
      </c>
      <c r="D65" s="33"/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18">
        <f t="shared" si="9"/>
        <v>0</v>
      </c>
      <c r="M65" s="2"/>
    </row>
    <row r="66" spans="2:13">
      <c r="B66" s="2"/>
      <c r="C66" s="32" t="s">
        <v>297</v>
      </c>
      <c r="D66" s="33"/>
      <c r="E66" s="18">
        <f>0</f>
        <v>0</v>
      </c>
      <c r="F66" s="51">
        <v>0</v>
      </c>
      <c r="G66" s="18">
        <f>0</f>
        <v>0</v>
      </c>
      <c r="H66" s="51">
        <v>0</v>
      </c>
      <c r="I66" s="18">
        <f>0</f>
        <v>0</v>
      </c>
      <c r="J66" s="51">
        <v>0</v>
      </c>
      <c r="K66" s="51">
        <v>0</v>
      </c>
      <c r="L66" s="21">
        <f>0</f>
        <v>0</v>
      </c>
      <c r="M66" s="2"/>
    </row>
    <row r="67" spans="2:13">
      <c r="B67" s="2"/>
      <c r="C67" s="32" t="s">
        <v>298</v>
      </c>
      <c r="D67" s="33"/>
      <c r="E67" s="18">
        <f>0</f>
        <v>0</v>
      </c>
      <c r="F67" s="51">
        <v>0</v>
      </c>
      <c r="G67" s="18">
        <f>0</f>
        <v>0</v>
      </c>
      <c r="H67" s="51">
        <v>0</v>
      </c>
      <c r="I67" s="18">
        <f>0</f>
        <v>0</v>
      </c>
      <c r="J67" s="51">
        <v>0</v>
      </c>
      <c r="K67" s="51">
        <v>0</v>
      </c>
      <c r="L67" s="21">
        <f>0</f>
        <v>0</v>
      </c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5.0999999999999996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sheetProtection sheet="1" formatColumns="0" formatRows="0" selectLockedCells="1"/>
  <mergeCells count="207">
    <mergeCell ref="C7:L7"/>
    <mergeCell ref="C9:L9"/>
    <mergeCell ref="C10:L10"/>
    <mergeCell ref="C11:L11"/>
    <mergeCell ref="C13:L13"/>
    <mergeCell ref="K15"/>
    <mergeCell ref="L14"/>
    <mergeCell ref="K14"/>
    <mergeCell ref="L15"/>
    <mergeCell ref="C16:D16"/>
    <mergeCell ref="H15"/>
    <mergeCell ref="G14:H14"/>
    <mergeCell ref="I15"/>
    <mergeCell ref="J15"/>
    <mergeCell ref="I14:J14"/>
    <mergeCell ref="C14:D15"/>
    <mergeCell ref="E15"/>
    <mergeCell ref="F15"/>
    <mergeCell ref="E14:F14"/>
    <mergeCell ref="G15"/>
    <mergeCell ref="C19:D19"/>
    <mergeCell ref="I19"/>
    <mergeCell ref="J19"/>
    <mergeCell ref="K19"/>
    <mergeCell ref="C20:D20"/>
    <mergeCell ref="I20"/>
    <mergeCell ref="J20"/>
    <mergeCell ref="K20"/>
    <mergeCell ref="C17:D17"/>
    <mergeCell ref="C18:D18"/>
    <mergeCell ref="I18"/>
    <mergeCell ref="J18"/>
    <mergeCell ref="K18"/>
    <mergeCell ref="C23:D23"/>
    <mergeCell ref="I23"/>
    <mergeCell ref="J23"/>
    <mergeCell ref="K23"/>
    <mergeCell ref="C24:D24"/>
    <mergeCell ref="I24"/>
    <mergeCell ref="J24"/>
    <mergeCell ref="K24"/>
    <mergeCell ref="C21:D21"/>
    <mergeCell ref="I21"/>
    <mergeCell ref="J21"/>
    <mergeCell ref="K21"/>
    <mergeCell ref="C22:D22"/>
    <mergeCell ref="I22"/>
    <mergeCell ref="J22"/>
    <mergeCell ref="K22"/>
    <mergeCell ref="C27:D27"/>
    <mergeCell ref="I27"/>
    <mergeCell ref="J27"/>
    <mergeCell ref="K27"/>
    <mergeCell ref="C28:D28"/>
    <mergeCell ref="I28"/>
    <mergeCell ref="J28"/>
    <mergeCell ref="K28"/>
    <mergeCell ref="C25:D25"/>
    <mergeCell ref="I25"/>
    <mergeCell ref="J25"/>
    <mergeCell ref="K25"/>
    <mergeCell ref="C26:D26"/>
    <mergeCell ref="I26"/>
    <mergeCell ref="J26"/>
    <mergeCell ref="K26"/>
    <mergeCell ref="C31:D31"/>
    <mergeCell ref="I31"/>
    <mergeCell ref="J31"/>
    <mergeCell ref="K31"/>
    <mergeCell ref="C32:D32"/>
    <mergeCell ref="K32"/>
    <mergeCell ref="C29:D29"/>
    <mergeCell ref="I29"/>
    <mergeCell ref="J29"/>
    <mergeCell ref="K29"/>
    <mergeCell ref="C30:D30"/>
    <mergeCell ref="I30"/>
    <mergeCell ref="J30"/>
    <mergeCell ref="K30"/>
    <mergeCell ref="C36:D36"/>
    <mergeCell ref="I36"/>
    <mergeCell ref="J36"/>
    <mergeCell ref="K36"/>
    <mergeCell ref="C37:D37"/>
    <mergeCell ref="I37"/>
    <mergeCell ref="J37"/>
    <mergeCell ref="K37"/>
    <mergeCell ref="C33:D33"/>
    <mergeCell ref="K33"/>
    <mergeCell ref="C34:D34"/>
    <mergeCell ref="K34"/>
    <mergeCell ref="C35:D35"/>
    <mergeCell ref="I35"/>
    <mergeCell ref="J35"/>
    <mergeCell ref="K35"/>
    <mergeCell ref="C41:D41"/>
    <mergeCell ref="I41"/>
    <mergeCell ref="J41"/>
    <mergeCell ref="K41"/>
    <mergeCell ref="C42:D42"/>
    <mergeCell ref="K42"/>
    <mergeCell ref="C38:D38"/>
    <mergeCell ref="I38"/>
    <mergeCell ref="K38"/>
    <mergeCell ref="C39:D39"/>
    <mergeCell ref="C40:D40"/>
    <mergeCell ref="I40"/>
    <mergeCell ref="J40"/>
    <mergeCell ref="K40"/>
    <mergeCell ref="C46:D46"/>
    <mergeCell ref="C47:D47"/>
    <mergeCell ref="C48:D48"/>
    <mergeCell ref="G48"/>
    <mergeCell ref="H48"/>
    <mergeCell ref="C43:D43"/>
    <mergeCell ref="K43"/>
    <mergeCell ref="C44:D44"/>
    <mergeCell ref="K44"/>
    <mergeCell ref="C45:D45"/>
    <mergeCell ref="I45"/>
    <mergeCell ref="K45"/>
    <mergeCell ref="I48"/>
    <mergeCell ref="J48"/>
    <mergeCell ref="K48"/>
    <mergeCell ref="C49:D49"/>
    <mergeCell ref="E49"/>
    <mergeCell ref="F49"/>
    <mergeCell ref="G49"/>
    <mergeCell ref="H49"/>
    <mergeCell ref="I49"/>
    <mergeCell ref="J49"/>
    <mergeCell ref="K49"/>
    <mergeCell ref="I50"/>
    <mergeCell ref="J50"/>
    <mergeCell ref="K50"/>
    <mergeCell ref="C51:D51"/>
    <mergeCell ref="C52:D52"/>
    <mergeCell ref="E52"/>
    <mergeCell ref="F52"/>
    <mergeCell ref="K52"/>
    <mergeCell ref="C50:D50"/>
    <mergeCell ref="E50"/>
    <mergeCell ref="F50"/>
    <mergeCell ref="G50"/>
    <mergeCell ref="H50"/>
    <mergeCell ref="C55:D55"/>
    <mergeCell ref="G55"/>
    <mergeCell ref="K55"/>
    <mergeCell ref="C56:D56"/>
    <mergeCell ref="G56"/>
    <mergeCell ref="K56"/>
    <mergeCell ref="C53:D53"/>
    <mergeCell ref="E53"/>
    <mergeCell ref="F53"/>
    <mergeCell ref="K53"/>
    <mergeCell ref="C54:D54"/>
    <mergeCell ref="G54"/>
    <mergeCell ref="K54"/>
    <mergeCell ref="C59:D59"/>
    <mergeCell ref="C60:D60"/>
    <mergeCell ref="E60"/>
    <mergeCell ref="F60"/>
    <mergeCell ref="K60"/>
    <mergeCell ref="C57:D57"/>
    <mergeCell ref="G57"/>
    <mergeCell ref="K57"/>
    <mergeCell ref="C58:D58"/>
    <mergeCell ref="E58"/>
    <mergeCell ref="F58"/>
    <mergeCell ref="G58"/>
    <mergeCell ref="H58"/>
    <mergeCell ref="K58"/>
    <mergeCell ref="C63:D63"/>
    <mergeCell ref="I63"/>
    <mergeCell ref="J63"/>
    <mergeCell ref="K63"/>
    <mergeCell ref="C64:D64"/>
    <mergeCell ref="E64"/>
    <mergeCell ref="F64"/>
    <mergeCell ref="C61:D61"/>
    <mergeCell ref="E61"/>
    <mergeCell ref="F61"/>
    <mergeCell ref="K61"/>
    <mergeCell ref="C62:D62"/>
    <mergeCell ref="G62"/>
    <mergeCell ref="H62"/>
    <mergeCell ref="I62"/>
    <mergeCell ref="J62"/>
    <mergeCell ref="K62"/>
    <mergeCell ref="C67:D67"/>
    <mergeCell ref="F67"/>
    <mergeCell ref="H67"/>
    <mergeCell ref="J67"/>
    <mergeCell ref="K67"/>
    <mergeCell ref="I65"/>
    <mergeCell ref="J65"/>
    <mergeCell ref="K65"/>
    <mergeCell ref="C66:D66"/>
    <mergeCell ref="F66"/>
    <mergeCell ref="H66"/>
    <mergeCell ref="J66"/>
    <mergeCell ref="K66"/>
    <mergeCell ref="C65:D65"/>
    <mergeCell ref="E65"/>
    <mergeCell ref="F65"/>
    <mergeCell ref="G65"/>
    <mergeCell ref="H65"/>
  </mergeCells>
  <dataValidations count="136"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0" width="30" style="1" customWidth="1"/>
    <col min="11" max="11" width="1" style="1" customWidth="1"/>
    <col min="12" max="12" width="9.140625" style="1" customWidth="1"/>
    <col min="13" max="16384" width="9.140625" style="1"/>
  </cols>
  <sheetData>
    <row r="2" spans="2:11" ht="5.0999999999999996" customHeight="1">
      <c r="B2" s="9" t="s">
        <v>299</v>
      </c>
      <c r="C2" s="2"/>
      <c r="D2" s="2"/>
      <c r="E2" s="2"/>
      <c r="F2" s="2"/>
      <c r="G2" s="2"/>
      <c r="H2" s="2"/>
      <c r="I2" s="2"/>
      <c r="J2" s="2"/>
      <c r="K2" s="2"/>
    </row>
    <row r="3" spans="2:11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</row>
    <row r="4" spans="2:11" hidden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idden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idden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2"/>
    </row>
    <row r="8" spans="2:1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>
      <c r="B9" s="2"/>
      <c r="C9" s="46" t="s">
        <v>300</v>
      </c>
      <c r="D9" s="46"/>
      <c r="E9" s="46"/>
      <c r="F9" s="46"/>
      <c r="G9" s="46"/>
      <c r="H9" s="46"/>
      <c r="I9" s="46"/>
      <c r="J9" s="46"/>
      <c r="K9" s="2"/>
    </row>
    <row r="10" spans="2:11">
      <c r="B10" s="2"/>
      <c r="C10" s="46"/>
      <c r="D10" s="46"/>
      <c r="E10" s="46"/>
      <c r="F10" s="46"/>
      <c r="G10" s="46"/>
      <c r="H10" s="46"/>
      <c r="I10" s="46"/>
      <c r="J10" s="46"/>
      <c r="K10" s="2"/>
    </row>
    <row r="11" spans="2:11">
      <c r="B11" s="2"/>
      <c r="C11" s="47" t="str">
        <f>CONCATENATE("Untuk Periode Yang Berakhir Pada ",TEXT(DATE(YEAR('Data Umum'!D11), MONTH('Data Umum'!D11)+1, 0),"DD")&amp;"-"&amp;CONCATENATE(TEXT('Data Umum'!D11, "MMM-YYYY")))</f>
        <v>Untuk Periode Yang Berakhir Pada 31-Jan-1900</v>
      </c>
      <c r="D11" s="47"/>
      <c r="E11" s="47"/>
      <c r="F11" s="47"/>
      <c r="G11" s="47"/>
      <c r="H11" s="47"/>
      <c r="I11" s="47"/>
      <c r="J11" s="47"/>
      <c r="K11" s="2"/>
    </row>
    <row r="12" spans="2:11" hidden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2"/>
    </row>
    <row r="14" spans="2:11">
      <c r="B14" s="2"/>
      <c r="C14" s="40" t="s">
        <v>236</v>
      </c>
      <c r="D14" s="38"/>
      <c r="E14" s="40" t="str">
        <f>""</f>
        <v/>
      </c>
      <c r="F14" s="38"/>
      <c r="G14" s="40" t="str">
        <f>"Dana Investasi Peserta 	"</f>
        <v xml:space="preserve">Dana Investasi Peserta 	</v>
      </c>
      <c r="H14" s="38"/>
      <c r="I14" s="40" t="str">
        <f>""</f>
        <v/>
      </c>
      <c r="J14" s="38"/>
      <c r="K14" s="2"/>
    </row>
    <row r="15" spans="2:11">
      <c r="B15" s="2"/>
      <c r="C15" s="41"/>
      <c r="D15" s="42"/>
      <c r="E15" s="43" t="str">
        <f>" Dana Perusahaan  "</f>
        <v xml:space="preserve"> Dana Perusahaan  </v>
      </c>
      <c r="F15" s="43" t="str">
        <f>" Dana Tabarru' "</f>
        <v xml:space="preserve"> Dana Tabarru' </v>
      </c>
      <c r="G15" s="43" t="str">
        <f>"Akad Wakalah Bil Ujrah "</f>
        <v xml:space="preserve">Akad Wakalah Bil Ujrah </v>
      </c>
      <c r="H15" s="43" t="str">
        <f>"Akad Mudharabah "</f>
        <v xml:space="preserve">Akad Mudharabah </v>
      </c>
      <c r="I15" s="43" t="str">
        <f>"Penyesuaian "</f>
        <v xml:space="preserve">Penyesuaian </v>
      </c>
      <c r="J15" s="43" t="str">
        <f>"Gabungan "</f>
        <v xml:space="preserve">Gabungan </v>
      </c>
      <c r="K15" s="2"/>
    </row>
    <row r="16" spans="2:11">
      <c r="B16" s="2"/>
      <c r="C16" s="37" t="s">
        <v>301</v>
      </c>
      <c r="D16" s="38"/>
      <c r="E16" s="20">
        <f>IFERROR(E17, 0)+IFERROR(E23, 0)</f>
        <v>0</v>
      </c>
      <c r="F16" s="20">
        <f>IFERROR(F17, 0)+IFERROR(F23, 0)</f>
        <v>0</v>
      </c>
      <c r="G16" s="20">
        <f>IFERROR(G17, 0)+IFERROR(G23, 0)</f>
        <v>0</v>
      </c>
      <c r="H16" s="20">
        <f>IFERROR(H17, 0)+IFERROR(H23, 0)</f>
        <v>0</v>
      </c>
      <c r="I16" s="20">
        <f>IFERROR(I17, 0)+IFERROR(I23, 0)</f>
        <v>0</v>
      </c>
      <c r="J16" s="21">
        <f>0</f>
        <v>0</v>
      </c>
      <c r="K16" s="2"/>
    </row>
    <row r="17" spans="2:11">
      <c r="B17" s="2"/>
      <c r="C17" s="35" t="s">
        <v>302</v>
      </c>
      <c r="D17" s="36"/>
      <c r="E17" s="20">
        <f>IFERROR(E18, 0)+IFERROR(E19, 0)+0+IFERROR(E21, 0)+IFERROR(E22, 0)</f>
        <v>0</v>
      </c>
      <c r="F17" s="20">
        <f>IFERROR(F18, 0)+IFERROR(F19, 0)+0+IFERROR(F21, 0)+IFERROR(F22, 0)</f>
        <v>0</v>
      </c>
      <c r="G17" s="20">
        <f>IFERROR(G18, 0)+IFERROR(G19, 0)+0+IFERROR(G21, 0)+IFERROR(G22, 0)</f>
        <v>0</v>
      </c>
      <c r="H17" s="20">
        <f>IFERROR(H18, 0)+IFERROR(H19, 0)+0+IFERROR(H21, 0)+IFERROR(H22, 0)</f>
        <v>0</v>
      </c>
      <c r="I17" s="20">
        <f>IFERROR(I18, 0)+IFERROR(I19, 0)+0+IFERROR(I21, 0)+IFERROR(I22, 0)</f>
        <v>0</v>
      </c>
      <c r="J17" s="21">
        <f>0</f>
        <v>0</v>
      </c>
      <c r="K17" s="2"/>
    </row>
    <row r="18" spans="2:11">
      <c r="B18" s="2"/>
      <c r="C18" s="32" t="s">
        <v>303</v>
      </c>
      <c r="D18" s="33"/>
      <c r="E18" s="18">
        <f>SUMIFS('RA110-R'!AH:AH,'RA110-R'!K:K,"1801")</f>
        <v>0</v>
      </c>
      <c r="F18" s="18">
        <f>SUMIFS('RA110-R'!AH:AH,'RA110-R'!K:K,"1802")</f>
        <v>0</v>
      </c>
      <c r="G18" s="51">
        <v>0</v>
      </c>
      <c r="H18" s="51">
        <v>0</v>
      </c>
      <c r="I18" s="51">
        <v>0</v>
      </c>
      <c r="J18" s="18">
        <f>E18+F18+G18+H18-I18</f>
        <v>0</v>
      </c>
      <c r="K18" s="2"/>
    </row>
    <row r="19" spans="2:11">
      <c r="B19" s="2"/>
      <c r="C19" s="32" t="s">
        <v>304</v>
      </c>
      <c r="D19" s="33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21">
        <f>0</f>
        <v>0</v>
      </c>
      <c r="K19" s="2"/>
    </row>
    <row r="20" spans="2:11">
      <c r="B20" s="2"/>
      <c r="C20" s="32" t="s">
        <v>305</v>
      </c>
      <c r="D20" s="33"/>
      <c r="E20" s="18">
        <f>E18+E19</f>
        <v>0</v>
      </c>
      <c r="F20" s="18">
        <f>F18-F19</f>
        <v>0</v>
      </c>
      <c r="G20" s="18">
        <f>G18-G19</f>
        <v>0</v>
      </c>
      <c r="H20" s="18">
        <f>H18-H19</f>
        <v>0</v>
      </c>
      <c r="I20" s="51">
        <v>0</v>
      </c>
      <c r="J20" s="18">
        <f>E20+F20+G20+H20-I20</f>
        <v>0</v>
      </c>
      <c r="K20" s="2"/>
    </row>
    <row r="21" spans="2:11">
      <c r="B21" s="2"/>
      <c r="C21" s="32" t="s">
        <v>306</v>
      </c>
      <c r="D21" s="33"/>
      <c r="E21" s="51">
        <v>0</v>
      </c>
      <c r="F21" s="18">
        <f>0</f>
        <v>0</v>
      </c>
      <c r="G21" s="18">
        <f>0</f>
        <v>0</v>
      </c>
      <c r="H21" s="18">
        <f>0</f>
        <v>0</v>
      </c>
      <c r="I21" s="51">
        <v>0</v>
      </c>
      <c r="J21" s="18">
        <f>E21+F21+G21+H21-I21</f>
        <v>0</v>
      </c>
      <c r="K21" s="2"/>
    </row>
    <row r="22" spans="2:11">
      <c r="B22" s="2"/>
      <c r="C22" s="32" t="s">
        <v>307</v>
      </c>
      <c r="D22" s="33"/>
      <c r="E22" s="18">
        <f>E20+E21</f>
        <v>0</v>
      </c>
      <c r="F22" s="18">
        <f>F20+F21</f>
        <v>0</v>
      </c>
      <c r="G22" s="18">
        <f>G20+G21</f>
        <v>0</v>
      </c>
      <c r="H22" s="18">
        <f>H20+H21</f>
        <v>0</v>
      </c>
      <c r="I22" s="51">
        <v>0</v>
      </c>
      <c r="J22" s="18">
        <f>E22+F22+G22+H22-I22</f>
        <v>0</v>
      </c>
      <c r="K22" s="2"/>
    </row>
    <row r="23" spans="2:11">
      <c r="B23" s="2"/>
      <c r="C23" s="35" t="s">
        <v>308</v>
      </c>
      <c r="D23" s="36"/>
      <c r="E23" s="20">
        <f>IFERROR(E24, 0)+IFERROR(E27, 0)+IFERROR(E28, 0)+IFERROR(E29, 0)+IFERROR(E30, 0)+IFERROR(E34, 0)+IFERROR(E35, 0)</f>
        <v>0</v>
      </c>
      <c r="F23" s="20">
        <f>IFERROR(F24, 0)+IFERROR(F27, 0)+IFERROR(F28, 0)+IFERROR(F29, 0)+IFERROR(F30, 0)+IFERROR(F34, 0)+IFERROR(F35, 0)</f>
        <v>0</v>
      </c>
      <c r="G23" s="20">
        <f>IFERROR(G24, 0)+IFERROR(G27, 0)+IFERROR(G28, 0)+IFERROR(G29, 0)+IFERROR(G30, 0)+IFERROR(G34, 0)+IFERROR(G35, 0)</f>
        <v>0</v>
      </c>
      <c r="H23" s="20">
        <f>IFERROR(H24, 0)+IFERROR(H27, 0)+IFERROR(H28, 0)+IFERROR(H29, 0)+IFERROR(H30, 0)+IFERROR(H34, 0)+IFERROR(H35, 0)</f>
        <v>0</v>
      </c>
      <c r="I23" s="20">
        <f>IFERROR(I24, 0)+IFERROR(I27, 0)+IFERROR(I28, 0)+IFERROR(I29, 0)+IFERROR(I30, 0)+IFERROR(I34, 0)+IFERROR(I35, 0)</f>
        <v>0</v>
      </c>
      <c r="J23" s="21">
        <f>0</f>
        <v>0</v>
      </c>
      <c r="K23" s="2"/>
    </row>
    <row r="24" spans="2:11">
      <c r="B24" s="2"/>
      <c r="C24" s="32" t="s">
        <v>309</v>
      </c>
      <c r="D24" s="33"/>
      <c r="E24" s="20">
        <f>IFERROR(E25, 0)+IFERROR(E26, 0)</f>
        <v>0</v>
      </c>
      <c r="F24" s="20">
        <f>IFERROR(F25, 0)+IFERROR(F26, 0)</f>
        <v>0</v>
      </c>
      <c r="G24" s="20">
        <f>IFERROR(G25, 0)+IFERROR(G26, 0)</f>
        <v>0</v>
      </c>
      <c r="H24" s="20">
        <f>IFERROR(H25, 0)+IFERROR(H26, 0)</f>
        <v>0</v>
      </c>
      <c r="I24" s="20">
        <f>IFERROR(I25, 0)+IFERROR(I26, 0)</f>
        <v>0</v>
      </c>
      <c r="J24" s="21">
        <f>0</f>
        <v>0</v>
      </c>
      <c r="K24" s="2"/>
    </row>
    <row r="25" spans="2:11">
      <c r="B25" s="2"/>
      <c r="C25" s="55" t="s">
        <v>310</v>
      </c>
      <c r="D25" s="56"/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18">
        <f>E25+F25+G25+H25-I25</f>
        <v>0</v>
      </c>
      <c r="K25" s="2"/>
    </row>
    <row r="26" spans="2:11">
      <c r="B26" s="2"/>
      <c r="C26" s="55" t="s">
        <v>311</v>
      </c>
      <c r="D26" s="56"/>
      <c r="E26" s="18">
        <f>+SUM('RB110-R'!N:N)</f>
        <v>0</v>
      </c>
      <c r="F26" s="18">
        <f>+SUM('RB110-R'!O:O)</f>
        <v>0</v>
      </c>
      <c r="G26" s="18">
        <f>0</f>
        <v>0</v>
      </c>
      <c r="H26" s="18">
        <f>0</f>
        <v>0</v>
      </c>
      <c r="I26" s="51">
        <v>0</v>
      </c>
      <c r="J26" s="18">
        <f>E26+F26+G26+H26-I26</f>
        <v>0</v>
      </c>
      <c r="K26" s="2"/>
    </row>
    <row r="27" spans="2:11">
      <c r="B27" s="2"/>
      <c r="C27" s="32" t="s">
        <v>312</v>
      </c>
      <c r="D27" s="33"/>
      <c r="E27" s="18">
        <f>E25+E26</f>
        <v>0</v>
      </c>
      <c r="F27" s="18">
        <f>F25+F26</f>
        <v>0</v>
      </c>
      <c r="G27" s="18">
        <f>G25+G26</f>
        <v>0</v>
      </c>
      <c r="H27" s="18">
        <f>H25+H26</f>
        <v>0</v>
      </c>
      <c r="I27" s="51">
        <v>0</v>
      </c>
      <c r="J27" s="18">
        <f>E27+F27+G27+H27-I27</f>
        <v>0</v>
      </c>
      <c r="K27" s="2"/>
    </row>
    <row r="28" spans="2:11">
      <c r="B28" s="2"/>
      <c r="C28" s="32" t="s">
        <v>313</v>
      </c>
      <c r="D28" s="33"/>
      <c r="E28" s="51">
        <v>0</v>
      </c>
      <c r="F28" s="18">
        <f>+SUM('RB110-R'!P:P)</f>
        <v>0</v>
      </c>
      <c r="G28" s="18">
        <f>0</f>
        <v>0</v>
      </c>
      <c r="H28" s="18">
        <f>0</f>
        <v>0</v>
      </c>
      <c r="I28" s="51">
        <v>0</v>
      </c>
      <c r="J28" s="18">
        <f>E28+F28+G28+H28-I28</f>
        <v>0</v>
      </c>
      <c r="K28" s="2"/>
    </row>
    <row r="29" spans="2:11">
      <c r="B29" s="2"/>
      <c r="C29" s="32" t="s">
        <v>314</v>
      </c>
      <c r="D29" s="33"/>
      <c r="E29" s="18">
        <f>E27-E28</f>
        <v>0</v>
      </c>
      <c r="F29" s="18">
        <f>F27-F28</f>
        <v>0</v>
      </c>
      <c r="G29" s="18">
        <f>G27-G28</f>
        <v>0</v>
      </c>
      <c r="H29" s="18">
        <f>H27-H28</f>
        <v>0</v>
      </c>
      <c r="I29" s="51">
        <v>0</v>
      </c>
      <c r="J29" s="18">
        <f>E29+F29+G29+H29-I29</f>
        <v>0</v>
      </c>
      <c r="K29" s="2"/>
    </row>
    <row r="30" spans="2:11">
      <c r="B30" s="2"/>
      <c r="C30" s="32" t="s">
        <v>315</v>
      </c>
      <c r="D30" s="33"/>
      <c r="E30" s="20">
        <f>IFERROR(E31, 0)+IFERROR(E32, 0)+IFERROR(E33, 0)</f>
        <v>0</v>
      </c>
      <c r="F30" s="20">
        <f>IFERROR(F31, 0)+IFERROR(F32, 0)+IFERROR(F33, 0)</f>
        <v>0</v>
      </c>
      <c r="G30" s="20">
        <f>IFERROR(G31, 0)+IFERROR(G32, 0)+IFERROR(G33, 0)</f>
        <v>0</v>
      </c>
      <c r="H30" s="20">
        <f>IFERROR(H31, 0)+IFERROR(H32, 0)+IFERROR(H33, 0)</f>
        <v>0</v>
      </c>
      <c r="I30" s="20">
        <f>IFERROR(I31, 0)+IFERROR(I32, 0)+IFERROR(I33, 0)</f>
        <v>0</v>
      </c>
      <c r="J30" s="21">
        <f>0</f>
        <v>0</v>
      </c>
      <c r="K30" s="2"/>
    </row>
    <row r="31" spans="2:11">
      <c r="B31" s="2"/>
      <c r="C31" s="55" t="s">
        <v>316</v>
      </c>
      <c r="D31" s="56"/>
      <c r="E31" s="21">
        <f>0</f>
        <v>0</v>
      </c>
      <c r="F31" s="51">
        <v>0</v>
      </c>
      <c r="G31" s="18">
        <f>0</f>
        <v>0</v>
      </c>
      <c r="H31" s="18">
        <f>0</f>
        <v>0</v>
      </c>
      <c r="I31" s="51">
        <v>0</v>
      </c>
      <c r="J31" s="18">
        <f>E31+F31+G31+H31-I31</f>
        <v>0</v>
      </c>
      <c r="K31" s="2"/>
    </row>
    <row r="32" spans="2:11">
      <c r="B32" s="2"/>
      <c r="C32" s="55" t="s">
        <v>317</v>
      </c>
      <c r="D32" s="56"/>
      <c r="E32" s="18">
        <f>0</f>
        <v>0</v>
      </c>
      <c r="F32" s="51">
        <v>0</v>
      </c>
      <c r="G32" s="18">
        <f>0</f>
        <v>0</v>
      </c>
      <c r="H32" s="18">
        <f>0</f>
        <v>0</v>
      </c>
      <c r="I32" s="51">
        <v>0</v>
      </c>
      <c r="J32" s="18">
        <f>E32+F32+G32+H32-I32</f>
        <v>0</v>
      </c>
      <c r="K32" s="2"/>
    </row>
    <row r="33" spans="2:11">
      <c r="B33" s="2"/>
      <c r="C33" s="55" t="s">
        <v>318</v>
      </c>
      <c r="D33" s="56"/>
      <c r="E33" s="18">
        <f>0</f>
        <v>0</v>
      </c>
      <c r="F33" s="51">
        <v>0</v>
      </c>
      <c r="G33" s="18">
        <f>0</f>
        <v>0</v>
      </c>
      <c r="H33" s="18">
        <f>0</f>
        <v>0</v>
      </c>
      <c r="I33" s="51">
        <v>0</v>
      </c>
      <c r="J33" s="18">
        <f>E33+F33+G33+H33-I33</f>
        <v>0</v>
      </c>
      <c r="K33" s="2"/>
    </row>
    <row r="34" spans="2:11">
      <c r="B34" s="2"/>
      <c r="C34" s="32" t="s">
        <v>319</v>
      </c>
      <c r="D34" s="33"/>
      <c r="E34" s="18">
        <f>0</f>
        <v>0</v>
      </c>
      <c r="F34" s="18">
        <f>F29+F31+F32+F33</f>
        <v>0</v>
      </c>
      <c r="G34" s="18">
        <f>0</f>
        <v>0</v>
      </c>
      <c r="H34" s="18">
        <f>0</f>
        <v>0</v>
      </c>
      <c r="I34" s="51">
        <v>0</v>
      </c>
      <c r="J34" s="18">
        <f>E34+F34+G34+H34-I34</f>
        <v>0</v>
      </c>
      <c r="K34" s="2"/>
    </row>
    <row r="35" spans="2:11">
      <c r="B35" s="2"/>
      <c r="C35" s="32" t="s">
        <v>320</v>
      </c>
      <c r="D35" s="33"/>
      <c r="E35" s="18">
        <f>E29+E31+E32+E33</f>
        <v>0</v>
      </c>
      <c r="F35" s="18">
        <f>F29+F31+F32+F33</f>
        <v>0</v>
      </c>
      <c r="G35" s="18">
        <f>0</f>
        <v>0</v>
      </c>
      <c r="H35" s="18">
        <f>0</f>
        <v>0</v>
      </c>
      <c r="I35" s="51">
        <v>0</v>
      </c>
      <c r="J35" s="18">
        <f>E35+F35+G35+H35-I35</f>
        <v>0</v>
      </c>
      <c r="K35" s="2"/>
    </row>
    <row r="36" spans="2:11">
      <c r="B36" s="2"/>
      <c r="C36" s="37" t="s">
        <v>321</v>
      </c>
      <c r="D36" s="38"/>
      <c r="E36" s="20">
        <f>IFERROR(E37, 0)+IFERROR(E50, 0)</f>
        <v>0</v>
      </c>
      <c r="F36" s="20">
        <f>IFERROR(F37, 0)+IFERROR(F50, 0)</f>
        <v>0</v>
      </c>
      <c r="G36" s="20">
        <f>IFERROR(G37, 0)+IFERROR(G50, 0)</f>
        <v>0</v>
      </c>
      <c r="H36" s="20">
        <f>IFERROR(H37, 0)+IFERROR(H50, 0)</f>
        <v>0</v>
      </c>
      <c r="I36" s="20">
        <f>IFERROR(I37, 0)+IFERROR(I50, 0)</f>
        <v>0</v>
      </c>
      <c r="J36" s="21">
        <f>0</f>
        <v>0</v>
      </c>
      <c r="K36" s="2"/>
    </row>
    <row r="37" spans="2:11">
      <c r="B37" s="2"/>
      <c r="C37" s="35" t="s">
        <v>322</v>
      </c>
      <c r="D37" s="36"/>
      <c r="E37" s="20">
        <f>IFERROR(E38, 0)+IFERROR(E44, 0)+IFERROR(E45, 0)+IFERROR(E46, 0)+IFERROR(E47, 0)</f>
        <v>0</v>
      </c>
      <c r="F37" s="20">
        <f>IFERROR(F38, 0)+IFERROR(F44, 0)+IFERROR(F45, 0)+IFERROR(F46, 0)+IFERROR(F47, 0)</f>
        <v>0</v>
      </c>
      <c r="G37" s="20">
        <f>IFERROR(G38, 0)+IFERROR(G44, 0)+IFERROR(G45, 0)+IFERROR(G46, 0)+IFERROR(G47, 0)</f>
        <v>0</v>
      </c>
      <c r="H37" s="20">
        <f>IFERROR(H38, 0)+IFERROR(H44, 0)+IFERROR(H45, 0)+IFERROR(H46, 0)+IFERROR(H47, 0)</f>
        <v>0</v>
      </c>
      <c r="I37" s="20">
        <f>IFERROR(I38, 0)+IFERROR(I44, 0)+IFERROR(I45, 0)+IFERROR(I46, 0)+IFERROR(I47, 0)</f>
        <v>0</v>
      </c>
      <c r="J37" s="21">
        <f>0</f>
        <v>0</v>
      </c>
      <c r="K37" s="2"/>
    </row>
    <row r="38" spans="2:11">
      <c r="B38" s="2"/>
      <c r="C38" s="32" t="s">
        <v>323</v>
      </c>
      <c r="D38" s="33"/>
      <c r="E38" s="20">
        <f>IFERROR(E39, 0)+IFERROR(E40, 0)+IFERROR(E41, 0)+IFERROR(E42, 0)+IFERROR(E43, 0)</f>
        <v>0</v>
      </c>
      <c r="F38" s="20">
        <f>IFERROR(F39, 0)+IFERROR(F40, 0)+IFERROR(F41, 0)+IFERROR(F42, 0)+IFERROR(F43, 0)</f>
        <v>0</v>
      </c>
      <c r="G38" s="20">
        <f>IFERROR(G39, 0)+IFERROR(G40, 0)+IFERROR(G41, 0)+IFERROR(G42, 0)+IFERROR(G43, 0)</f>
        <v>0</v>
      </c>
      <c r="H38" s="20">
        <f>IFERROR(H39, 0)+IFERROR(H40, 0)+IFERROR(H41, 0)+IFERROR(H42, 0)+IFERROR(H43, 0)</f>
        <v>0</v>
      </c>
      <c r="I38" s="20">
        <f>IFERROR(I39, 0)+IFERROR(I40, 0)+IFERROR(I41, 0)+IFERROR(I42, 0)+IFERROR(I43, 0)</f>
        <v>0</v>
      </c>
      <c r="J38" s="21">
        <f>0</f>
        <v>0</v>
      </c>
      <c r="K38" s="2"/>
    </row>
    <row r="39" spans="2:11">
      <c r="B39" s="2"/>
      <c r="C39" s="55" t="s">
        <v>324</v>
      </c>
      <c r="D39" s="56"/>
      <c r="E39" s="18">
        <f>0</f>
        <v>0</v>
      </c>
      <c r="F39" s="18">
        <f>+SUM('RB110-R'!Q:Q)</f>
        <v>0</v>
      </c>
      <c r="G39" s="18">
        <f>0</f>
        <v>0</v>
      </c>
      <c r="H39" s="18">
        <f>0</f>
        <v>0</v>
      </c>
      <c r="I39" s="51">
        <v>0</v>
      </c>
      <c r="J39" s="18">
        <f t="shared" ref="J39:J46" si="0">E39+F39+G39+H39-I39</f>
        <v>0</v>
      </c>
      <c r="K39" s="2"/>
    </row>
    <row r="40" spans="2:11">
      <c r="B40" s="2"/>
      <c r="C40" s="55" t="s">
        <v>325</v>
      </c>
      <c r="D40" s="56"/>
      <c r="E40" s="18">
        <f>0</f>
        <v>0</v>
      </c>
      <c r="F40" s="18">
        <f>+SUM('RB110-R'!R:R)</f>
        <v>0</v>
      </c>
      <c r="G40" s="18">
        <f>0</f>
        <v>0</v>
      </c>
      <c r="H40" s="18">
        <f>0</f>
        <v>0</v>
      </c>
      <c r="I40" s="51">
        <v>0</v>
      </c>
      <c r="J40" s="18">
        <f t="shared" si="0"/>
        <v>0</v>
      </c>
      <c r="K40" s="2"/>
    </row>
    <row r="41" spans="2:11">
      <c r="B41" s="2"/>
      <c r="C41" s="55" t="s">
        <v>326</v>
      </c>
      <c r="D41" s="56"/>
      <c r="E41" s="18">
        <f>0</f>
        <v>0</v>
      </c>
      <c r="F41" s="51">
        <v>0</v>
      </c>
      <c r="G41" s="18">
        <f>0</f>
        <v>0</v>
      </c>
      <c r="H41" s="18">
        <f>0</f>
        <v>0</v>
      </c>
      <c r="I41" s="51">
        <v>0</v>
      </c>
      <c r="J41" s="18">
        <f t="shared" si="0"/>
        <v>0</v>
      </c>
      <c r="K41" s="2"/>
    </row>
    <row r="42" spans="2:11">
      <c r="B42" s="2"/>
      <c r="C42" s="55" t="s">
        <v>327</v>
      </c>
      <c r="D42" s="56"/>
      <c r="E42" s="18">
        <f>0</f>
        <v>0</v>
      </c>
      <c r="F42" s="21">
        <f>0</f>
        <v>0</v>
      </c>
      <c r="G42" s="51">
        <v>0</v>
      </c>
      <c r="H42" s="51">
        <v>0</v>
      </c>
      <c r="I42" s="51">
        <v>0</v>
      </c>
      <c r="J42" s="18">
        <f t="shared" si="0"/>
        <v>0</v>
      </c>
      <c r="K42" s="2"/>
    </row>
    <row r="43" spans="2:11">
      <c r="B43" s="2"/>
      <c r="C43" s="55" t="s">
        <v>328</v>
      </c>
      <c r="D43" s="56"/>
      <c r="E43" s="18">
        <f>0</f>
        <v>0</v>
      </c>
      <c r="F43" s="18">
        <f>0</f>
        <v>0</v>
      </c>
      <c r="G43" s="51">
        <v>0</v>
      </c>
      <c r="H43" s="51">
        <v>0</v>
      </c>
      <c r="I43" s="51">
        <v>0</v>
      </c>
      <c r="J43" s="18">
        <f t="shared" si="0"/>
        <v>0</v>
      </c>
      <c r="K43" s="2"/>
    </row>
    <row r="44" spans="2:11">
      <c r="B44" s="2"/>
      <c r="C44" s="32" t="s">
        <v>329</v>
      </c>
      <c r="D44" s="33"/>
      <c r="E44" s="18">
        <f>0</f>
        <v>0</v>
      </c>
      <c r="F44" s="18">
        <f>F39-F40+F41</f>
        <v>0</v>
      </c>
      <c r="G44" s="18">
        <f>G42+G43</f>
        <v>0</v>
      </c>
      <c r="H44" s="18">
        <f>H42+H43</f>
        <v>0</v>
      </c>
      <c r="I44" s="51">
        <v>0</v>
      </c>
      <c r="J44" s="18">
        <f t="shared" si="0"/>
        <v>0</v>
      </c>
      <c r="K44" s="2"/>
    </row>
    <row r="45" spans="2:11">
      <c r="B45" s="2"/>
      <c r="C45" s="32" t="s">
        <v>330</v>
      </c>
      <c r="D45" s="33"/>
      <c r="E45" s="18">
        <f>0</f>
        <v>0</v>
      </c>
      <c r="F45" s="18">
        <f>+SUM('RB110-R'!S:S)</f>
        <v>0</v>
      </c>
      <c r="G45" s="18">
        <f>0</f>
        <v>0</v>
      </c>
      <c r="H45" s="18">
        <f>0</f>
        <v>0</v>
      </c>
      <c r="I45" s="51">
        <v>0</v>
      </c>
      <c r="J45" s="18">
        <f t="shared" si="0"/>
        <v>0</v>
      </c>
      <c r="K45" s="2"/>
    </row>
    <row r="46" spans="2:11">
      <c r="B46" s="2"/>
      <c r="C46" s="32" t="s">
        <v>331</v>
      </c>
      <c r="D46" s="33"/>
      <c r="E46" s="18">
        <f>0</f>
        <v>0</v>
      </c>
      <c r="F46" s="18">
        <f>F44+F45</f>
        <v>0</v>
      </c>
      <c r="G46" s="18">
        <f>0</f>
        <v>0</v>
      </c>
      <c r="H46" s="18">
        <f>0</f>
        <v>0</v>
      </c>
      <c r="I46" s="51">
        <v>0</v>
      </c>
      <c r="J46" s="18">
        <f t="shared" si="0"/>
        <v>0</v>
      </c>
      <c r="K46" s="2"/>
    </row>
    <row r="47" spans="2:11">
      <c r="B47" s="2"/>
      <c r="C47" s="32" t="s">
        <v>332</v>
      </c>
      <c r="D47" s="33"/>
      <c r="E47" s="18">
        <f>0</f>
        <v>0</v>
      </c>
      <c r="F47" s="18">
        <f>F35-F46</f>
        <v>0</v>
      </c>
      <c r="G47" s="18">
        <f>0</f>
        <v>0</v>
      </c>
      <c r="H47" s="18">
        <f>0</f>
        <v>0</v>
      </c>
      <c r="I47" s="51">
        <v>0</v>
      </c>
      <c r="J47" s="21">
        <f>0</f>
        <v>0</v>
      </c>
      <c r="K47" s="2"/>
    </row>
    <row r="48" spans="2:11">
      <c r="B48" s="2"/>
      <c r="C48" s="55" t="s">
        <v>333</v>
      </c>
      <c r="D48" s="56"/>
      <c r="E48" s="51">
        <v>0</v>
      </c>
      <c r="F48" s="51">
        <v>0</v>
      </c>
      <c r="G48" s="18">
        <f>0</f>
        <v>0</v>
      </c>
      <c r="H48" s="18">
        <f>0</f>
        <v>0</v>
      </c>
      <c r="I48" s="51">
        <v>0</v>
      </c>
      <c r="J48" s="21">
        <f>0</f>
        <v>0</v>
      </c>
      <c r="K48" s="2"/>
    </row>
    <row r="49" spans="2:11">
      <c r="B49" s="2"/>
      <c r="C49" s="55" t="s">
        <v>334</v>
      </c>
      <c r="D49" s="56"/>
      <c r="E49" s="18">
        <f>0</f>
        <v>0</v>
      </c>
      <c r="F49" s="51">
        <v>0</v>
      </c>
      <c r="G49" s="51">
        <v>0</v>
      </c>
      <c r="H49" s="51">
        <v>0</v>
      </c>
      <c r="I49" s="51">
        <v>0</v>
      </c>
      <c r="J49" s="21">
        <f>0</f>
        <v>0</v>
      </c>
      <c r="K49" s="2"/>
    </row>
    <row r="50" spans="2:11">
      <c r="B50" s="2"/>
      <c r="C50" s="35" t="s">
        <v>335</v>
      </c>
      <c r="D50" s="36"/>
      <c r="E50" s="20">
        <f>IFERROR(E51, 0)+IFERROR(E52, 0)+IFERROR(E53, 0)+IFERROR(E57, 0)+IFERROR(E58, 0)</f>
        <v>0</v>
      </c>
      <c r="F50" s="20">
        <f>IFERROR(F51, 0)+IFERROR(F52, 0)+IFERROR(F53, 0)+IFERROR(F57, 0)+IFERROR(F58, 0)</f>
        <v>0</v>
      </c>
      <c r="G50" s="20">
        <f>IFERROR(G51, 0)+IFERROR(G52, 0)+IFERROR(G53, 0)+IFERROR(G57, 0)+IFERROR(G58, 0)</f>
        <v>0</v>
      </c>
      <c r="H50" s="20">
        <f>IFERROR(H51, 0)+IFERROR(H52, 0)+IFERROR(H53, 0)+IFERROR(H57, 0)+IFERROR(H58, 0)</f>
        <v>0</v>
      </c>
      <c r="I50" s="20">
        <f>IFERROR(I51, 0)+IFERROR(I52, 0)+IFERROR(I53, 0)+IFERROR(I57, 0)+IFERROR(I58, 0)</f>
        <v>0</v>
      </c>
      <c r="J50" s="21">
        <f>0</f>
        <v>0</v>
      </c>
      <c r="K50" s="2"/>
    </row>
    <row r="51" spans="2:11">
      <c r="B51" s="2"/>
      <c r="C51" s="32" t="s">
        <v>336</v>
      </c>
      <c r="D51" s="33"/>
      <c r="E51" s="51">
        <v>0</v>
      </c>
      <c r="F51" s="18">
        <f>0</f>
        <v>0</v>
      </c>
      <c r="G51" s="18">
        <f>0</f>
        <v>0</v>
      </c>
      <c r="H51" s="18">
        <f>0</f>
        <v>0</v>
      </c>
      <c r="I51" s="51">
        <v>0</v>
      </c>
      <c r="J51" s="18">
        <f>E51+F51+G51+H51-I51</f>
        <v>0</v>
      </c>
      <c r="K51" s="2"/>
    </row>
    <row r="52" spans="2:11">
      <c r="B52" s="2"/>
      <c r="C52" s="32" t="s">
        <v>337</v>
      </c>
      <c r="D52" s="33"/>
      <c r="E52" s="51">
        <v>0</v>
      </c>
      <c r="F52" s="18">
        <f>0</f>
        <v>0</v>
      </c>
      <c r="G52" s="18">
        <f>0</f>
        <v>0</v>
      </c>
      <c r="H52" s="18">
        <f>0</f>
        <v>0</v>
      </c>
      <c r="I52" s="51">
        <v>0</v>
      </c>
      <c r="J52" s="18">
        <f>E52+F52+G52+H52-I52</f>
        <v>0</v>
      </c>
      <c r="K52" s="2"/>
    </row>
    <row r="53" spans="2:11">
      <c r="B53" s="2"/>
      <c r="C53" s="32" t="s">
        <v>338</v>
      </c>
      <c r="D53" s="33"/>
      <c r="E53" s="18">
        <f>E54+E55+E56</f>
        <v>0</v>
      </c>
      <c r="F53" s="18">
        <f>0</f>
        <v>0</v>
      </c>
      <c r="G53" s="18">
        <f>0</f>
        <v>0</v>
      </c>
      <c r="H53" s="18">
        <f>0</f>
        <v>0</v>
      </c>
      <c r="I53" s="20">
        <f>IFERROR(I54, 0)+IFERROR(I55, 0)+IFERROR(I56, 0)</f>
        <v>0</v>
      </c>
      <c r="J53" s="21">
        <f>0</f>
        <v>0</v>
      </c>
      <c r="K53" s="2"/>
    </row>
    <row r="54" spans="2:11">
      <c r="B54" s="2"/>
      <c r="C54" s="55" t="s">
        <v>339</v>
      </c>
      <c r="D54" s="56"/>
      <c r="E54" s="51">
        <v>0</v>
      </c>
      <c r="F54" s="18">
        <f>0</f>
        <v>0</v>
      </c>
      <c r="G54" s="18">
        <f>0</f>
        <v>0</v>
      </c>
      <c r="H54" s="18">
        <f>0</f>
        <v>0</v>
      </c>
      <c r="I54" s="51">
        <v>0</v>
      </c>
      <c r="J54" s="18">
        <f t="shared" ref="J54:J66" si="1">E54+F54+G54+H54-I54</f>
        <v>0</v>
      </c>
      <c r="K54" s="2"/>
    </row>
    <row r="55" spans="2:11">
      <c r="B55" s="2"/>
      <c r="C55" s="55" t="s">
        <v>340</v>
      </c>
      <c r="D55" s="56"/>
      <c r="E55" s="51">
        <v>0</v>
      </c>
      <c r="F55" s="21">
        <f>0</f>
        <v>0</v>
      </c>
      <c r="G55" s="18">
        <f>0</f>
        <v>0</v>
      </c>
      <c r="H55" s="18">
        <f>0</f>
        <v>0</v>
      </c>
      <c r="I55" s="51">
        <v>0</v>
      </c>
      <c r="J55" s="18">
        <f t="shared" si="1"/>
        <v>0</v>
      </c>
      <c r="K55" s="2"/>
    </row>
    <row r="56" spans="2:11">
      <c r="B56" s="2"/>
      <c r="C56" s="55" t="s">
        <v>341</v>
      </c>
      <c r="D56" s="56"/>
      <c r="E56" s="51">
        <v>0</v>
      </c>
      <c r="F56" s="18">
        <f>0</f>
        <v>0</v>
      </c>
      <c r="G56" s="18">
        <f>0</f>
        <v>0</v>
      </c>
      <c r="H56" s="18">
        <f>0</f>
        <v>0</v>
      </c>
      <c r="I56" s="51">
        <v>0</v>
      </c>
      <c r="J56" s="18">
        <f t="shared" si="1"/>
        <v>0</v>
      </c>
      <c r="K56" s="2"/>
    </row>
    <row r="57" spans="2:11">
      <c r="B57" s="2"/>
      <c r="C57" s="32" t="s">
        <v>342</v>
      </c>
      <c r="D57" s="33"/>
      <c r="E57" s="51">
        <v>0</v>
      </c>
      <c r="F57" s="18">
        <f>0</f>
        <v>0</v>
      </c>
      <c r="G57" s="18">
        <f>0</f>
        <v>0</v>
      </c>
      <c r="H57" s="18">
        <f>0</f>
        <v>0</v>
      </c>
      <c r="I57" s="51">
        <v>0</v>
      </c>
      <c r="J57" s="18">
        <f t="shared" si="1"/>
        <v>0</v>
      </c>
      <c r="K57" s="2"/>
    </row>
    <row r="58" spans="2:11">
      <c r="B58" s="2"/>
      <c r="C58" s="32" t="s">
        <v>343</v>
      </c>
      <c r="D58" s="33"/>
      <c r="E58" s="18">
        <f>E51+E52+E53+E57</f>
        <v>0</v>
      </c>
      <c r="F58" s="18">
        <f>0</f>
        <v>0</v>
      </c>
      <c r="G58" s="18">
        <f>H22+H29-H44+H49</f>
        <v>0</v>
      </c>
      <c r="H58" s="18">
        <f>0</f>
        <v>0</v>
      </c>
      <c r="I58" s="51">
        <v>0</v>
      </c>
      <c r="J58" s="18">
        <f t="shared" si="1"/>
        <v>0</v>
      </c>
      <c r="K58" s="2"/>
    </row>
    <row r="59" spans="2:11">
      <c r="B59" s="2"/>
      <c r="C59" s="37" t="s">
        <v>344</v>
      </c>
      <c r="D59" s="38"/>
      <c r="E59" s="18">
        <f>E22+E35+E48-E58</f>
        <v>0</v>
      </c>
      <c r="F59" s="18">
        <f>F22+F47-F48-F49</f>
        <v>0</v>
      </c>
      <c r="G59" s="18">
        <f>G22+G29-G44+G49</f>
        <v>0</v>
      </c>
      <c r="H59" s="18">
        <f>H22+H29-H44+H49</f>
        <v>0</v>
      </c>
      <c r="I59" s="51">
        <v>0</v>
      </c>
      <c r="J59" s="18">
        <f t="shared" si="1"/>
        <v>0</v>
      </c>
      <c r="K59" s="2"/>
    </row>
    <row r="60" spans="2:11">
      <c r="B60" s="2"/>
      <c r="C60" s="37" t="s">
        <v>345</v>
      </c>
      <c r="D60" s="38"/>
      <c r="E60" s="51">
        <v>0</v>
      </c>
      <c r="F60" s="51">
        <v>0</v>
      </c>
      <c r="G60" s="18">
        <f>0</f>
        <v>0</v>
      </c>
      <c r="H60" s="18">
        <f>0</f>
        <v>0</v>
      </c>
      <c r="I60" s="51">
        <v>0</v>
      </c>
      <c r="J60" s="18">
        <f t="shared" si="1"/>
        <v>0</v>
      </c>
      <c r="K60" s="2"/>
    </row>
    <row r="61" spans="2:11">
      <c r="B61" s="2"/>
      <c r="C61" s="37" t="s">
        <v>346</v>
      </c>
      <c r="D61" s="38"/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18">
        <f t="shared" si="1"/>
        <v>0</v>
      </c>
      <c r="K61" s="2"/>
    </row>
    <row r="62" spans="2:11">
      <c r="B62" s="2"/>
      <c r="C62" s="37" t="s">
        <v>347</v>
      </c>
      <c r="D62" s="38"/>
      <c r="E62" s="18">
        <f>E59+E60-E61</f>
        <v>0</v>
      </c>
      <c r="F62" s="18">
        <f>F59+F60-F61</f>
        <v>0</v>
      </c>
      <c r="G62" s="18">
        <f>G59-G61</f>
        <v>0</v>
      </c>
      <c r="H62" s="18">
        <f>H59-H61</f>
        <v>0</v>
      </c>
      <c r="I62" s="51">
        <v>0</v>
      </c>
      <c r="J62" s="18">
        <f t="shared" si="1"/>
        <v>0</v>
      </c>
      <c r="K62" s="2"/>
    </row>
    <row r="63" spans="2:11">
      <c r="B63" s="2"/>
      <c r="C63" s="37" t="s">
        <v>348</v>
      </c>
      <c r="D63" s="38"/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18">
        <f t="shared" si="1"/>
        <v>0</v>
      </c>
      <c r="K63" s="2"/>
    </row>
    <row r="64" spans="2:11">
      <c r="B64" s="2"/>
      <c r="C64" s="37" t="s">
        <v>349</v>
      </c>
      <c r="D64" s="38"/>
      <c r="E64" s="18">
        <f>E62-E63</f>
        <v>0</v>
      </c>
      <c r="F64" s="18">
        <f>F62-F63</f>
        <v>0</v>
      </c>
      <c r="G64" s="18">
        <f>G62-G63</f>
        <v>0</v>
      </c>
      <c r="H64" s="18">
        <f>H62-H63</f>
        <v>0</v>
      </c>
      <c r="I64" s="51">
        <v>0</v>
      </c>
      <c r="J64" s="18">
        <f t="shared" si="1"/>
        <v>0</v>
      </c>
      <c r="K64" s="2"/>
    </row>
    <row r="65" spans="2:11">
      <c r="B65" s="2"/>
      <c r="C65" s="37" t="s">
        <v>350</v>
      </c>
      <c r="D65" s="38"/>
      <c r="E65" s="51">
        <v>0</v>
      </c>
      <c r="F65" s="18">
        <f>0</f>
        <v>0</v>
      </c>
      <c r="G65" s="18">
        <f>0</f>
        <v>0</v>
      </c>
      <c r="H65" s="18">
        <f>0</f>
        <v>0</v>
      </c>
      <c r="I65" s="51">
        <v>0</v>
      </c>
      <c r="J65" s="18">
        <f t="shared" si="1"/>
        <v>0</v>
      </c>
      <c r="K65" s="2"/>
    </row>
    <row r="66" spans="2:11">
      <c r="B66" s="2"/>
      <c r="C66" s="37" t="s">
        <v>351</v>
      </c>
      <c r="D66" s="38"/>
      <c r="E66" s="18">
        <f>E64+E65</f>
        <v>0</v>
      </c>
      <c r="F66" s="18">
        <f>F22+F47-F48-F49+F60-F61-F63+F65</f>
        <v>0</v>
      </c>
      <c r="G66" s="18">
        <f>G64+G65</f>
        <v>0</v>
      </c>
      <c r="H66" s="18">
        <f>H64+H65</f>
        <v>0</v>
      </c>
      <c r="I66" s="51">
        <v>0</v>
      </c>
      <c r="J66" s="18">
        <f t="shared" si="1"/>
        <v>0</v>
      </c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5.0999999999999996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 sheet="1" formatColumns="0" formatRows="0" selectLockedCells="1"/>
  <mergeCells count="149">
    <mergeCell ref="C7:J7"/>
    <mergeCell ref="C9:J9"/>
    <mergeCell ref="C10:J10"/>
    <mergeCell ref="C11:J11"/>
    <mergeCell ref="C13:J13"/>
    <mergeCell ref="C16:D16"/>
    <mergeCell ref="C17:D17"/>
    <mergeCell ref="C18:D18"/>
    <mergeCell ref="G18"/>
    <mergeCell ref="H18"/>
    <mergeCell ref="H15"/>
    <mergeCell ref="G14:H14"/>
    <mergeCell ref="I15"/>
    <mergeCell ref="I14:J14"/>
    <mergeCell ref="J15"/>
    <mergeCell ref="C14:D15"/>
    <mergeCell ref="E15"/>
    <mergeCell ref="F15"/>
    <mergeCell ref="E14:F14"/>
    <mergeCell ref="G15"/>
    <mergeCell ref="C20:D20"/>
    <mergeCell ref="I20"/>
    <mergeCell ref="C21:D21"/>
    <mergeCell ref="E21"/>
    <mergeCell ref="I21"/>
    <mergeCell ref="I18"/>
    <mergeCell ref="C19:D19"/>
    <mergeCell ref="E19"/>
    <mergeCell ref="F19"/>
    <mergeCell ref="G19"/>
    <mergeCell ref="H19"/>
    <mergeCell ref="I19"/>
    <mergeCell ref="C22:D22"/>
    <mergeCell ref="I22"/>
    <mergeCell ref="C23:D23"/>
    <mergeCell ref="C24:D24"/>
    <mergeCell ref="C25:D25"/>
    <mergeCell ref="E25"/>
    <mergeCell ref="F25"/>
    <mergeCell ref="G25"/>
    <mergeCell ref="H25"/>
    <mergeCell ref="I25"/>
    <mergeCell ref="C29:D29"/>
    <mergeCell ref="I29"/>
    <mergeCell ref="C30:D30"/>
    <mergeCell ref="C31:D31"/>
    <mergeCell ref="F31"/>
    <mergeCell ref="I31"/>
    <mergeCell ref="C26:D26"/>
    <mergeCell ref="I26"/>
    <mergeCell ref="C27:D27"/>
    <mergeCell ref="I27"/>
    <mergeCell ref="C28:D28"/>
    <mergeCell ref="E28"/>
    <mergeCell ref="I28"/>
    <mergeCell ref="C34:D34"/>
    <mergeCell ref="I34"/>
    <mergeCell ref="C35:D35"/>
    <mergeCell ref="I35"/>
    <mergeCell ref="C36:D36"/>
    <mergeCell ref="C32:D32"/>
    <mergeCell ref="F32"/>
    <mergeCell ref="I32"/>
    <mergeCell ref="C33:D33"/>
    <mergeCell ref="F33"/>
    <mergeCell ref="I33"/>
    <mergeCell ref="C41:D41"/>
    <mergeCell ref="F41"/>
    <mergeCell ref="I41"/>
    <mergeCell ref="C42:D42"/>
    <mergeCell ref="G42"/>
    <mergeCell ref="H42"/>
    <mergeCell ref="I42"/>
    <mergeCell ref="C37:D37"/>
    <mergeCell ref="C38:D38"/>
    <mergeCell ref="C39:D39"/>
    <mergeCell ref="I39"/>
    <mergeCell ref="C40:D40"/>
    <mergeCell ref="I40"/>
    <mergeCell ref="C45:D45"/>
    <mergeCell ref="I45"/>
    <mergeCell ref="C46:D46"/>
    <mergeCell ref="I46"/>
    <mergeCell ref="C47:D47"/>
    <mergeCell ref="I47"/>
    <mergeCell ref="C43:D43"/>
    <mergeCell ref="G43"/>
    <mergeCell ref="H43"/>
    <mergeCell ref="I43"/>
    <mergeCell ref="C44:D44"/>
    <mergeCell ref="I44"/>
    <mergeCell ref="C48:D48"/>
    <mergeCell ref="E48"/>
    <mergeCell ref="F48"/>
    <mergeCell ref="I48"/>
    <mergeCell ref="C49:D49"/>
    <mergeCell ref="F49"/>
    <mergeCell ref="G49"/>
    <mergeCell ref="H49"/>
    <mergeCell ref="I49"/>
    <mergeCell ref="C53:D53"/>
    <mergeCell ref="C54:D54"/>
    <mergeCell ref="E54"/>
    <mergeCell ref="I54"/>
    <mergeCell ref="C55:D55"/>
    <mergeCell ref="E55"/>
    <mergeCell ref="I55"/>
    <mergeCell ref="C50:D50"/>
    <mergeCell ref="C51:D51"/>
    <mergeCell ref="E51"/>
    <mergeCell ref="I51"/>
    <mergeCell ref="C52:D52"/>
    <mergeCell ref="E52"/>
    <mergeCell ref="I52"/>
    <mergeCell ref="C58:D58"/>
    <mergeCell ref="I58"/>
    <mergeCell ref="C59:D59"/>
    <mergeCell ref="I59"/>
    <mergeCell ref="C60:D60"/>
    <mergeCell ref="E60"/>
    <mergeCell ref="F60"/>
    <mergeCell ref="I60"/>
    <mergeCell ref="C56:D56"/>
    <mergeCell ref="E56"/>
    <mergeCell ref="I56"/>
    <mergeCell ref="C57:D57"/>
    <mergeCell ref="E57"/>
    <mergeCell ref="I57"/>
    <mergeCell ref="C66:D66"/>
    <mergeCell ref="I66"/>
    <mergeCell ref="C64:D64"/>
    <mergeCell ref="I64"/>
    <mergeCell ref="C65:D65"/>
    <mergeCell ref="E65"/>
    <mergeCell ref="I65"/>
    <mergeCell ref="I61"/>
    <mergeCell ref="C62:D62"/>
    <mergeCell ref="I62"/>
    <mergeCell ref="C63:D63"/>
    <mergeCell ref="E63"/>
    <mergeCell ref="F63"/>
    <mergeCell ref="G63"/>
    <mergeCell ref="H63"/>
    <mergeCell ref="I63"/>
    <mergeCell ref="C61:D61"/>
    <mergeCell ref="E61"/>
    <mergeCell ref="F61"/>
    <mergeCell ref="G61"/>
    <mergeCell ref="H61"/>
  </mergeCells>
  <dataValidations count="83"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9" width="30" style="1" customWidth="1"/>
    <col min="10" max="10" width="1" style="1" customWidth="1"/>
    <col min="11" max="11" width="9.140625" style="1" customWidth="1"/>
    <col min="12" max="16384" width="9.140625" style="1"/>
  </cols>
  <sheetData>
    <row r="2" spans="2:10" ht="5.0999999999999996" customHeight="1">
      <c r="B2" s="9" t="s">
        <v>352</v>
      </c>
      <c r="C2" s="2"/>
      <c r="D2" s="2"/>
      <c r="E2" s="2"/>
      <c r="F2" s="2"/>
      <c r="G2" s="2"/>
      <c r="H2" s="2"/>
      <c r="I2" s="2"/>
      <c r="J2" s="2"/>
    </row>
    <row r="3" spans="2:10" hidden="1">
      <c r="B3" s="9" t="s">
        <v>8</v>
      </c>
      <c r="C3" s="2"/>
      <c r="D3" s="2"/>
      <c r="E3" s="2"/>
      <c r="F3" s="2"/>
      <c r="G3" s="2"/>
      <c r="H3" s="2"/>
      <c r="I3" s="2"/>
      <c r="J3" s="2"/>
    </row>
    <row r="4" spans="2:10" hidden="1">
      <c r="B4" s="2"/>
      <c r="C4" s="2"/>
      <c r="D4" s="2"/>
      <c r="E4" s="2"/>
      <c r="F4" s="2"/>
      <c r="G4" s="2"/>
      <c r="H4" s="2"/>
      <c r="I4" s="2"/>
      <c r="J4" s="2"/>
    </row>
    <row r="5" spans="2:10" hidden="1">
      <c r="B5" s="2"/>
      <c r="C5" s="2"/>
      <c r="D5" s="2"/>
      <c r="E5" s="2"/>
      <c r="F5" s="2"/>
      <c r="G5" s="2"/>
      <c r="H5" s="2"/>
      <c r="I5" s="2"/>
      <c r="J5" s="2"/>
    </row>
    <row r="6" spans="2:10" hidden="1">
      <c r="B6" s="2"/>
      <c r="C6" s="2"/>
      <c r="D6" s="2"/>
      <c r="E6" s="2"/>
      <c r="F6" s="2"/>
      <c r="G6" s="2"/>
      <c r="H6" s="2"/>
      <c r="I6" s="2"/>
      <c r="J6" s="2"/>
    </row>
    <row r="7" spans="2:10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2"/>
    </row>
    <row r="8" spans="2:10">
      <c r="B8" s="2"/>
      <c r="C8" s="2"/>
      <c r="D8" s="2"/>
      <c r="E8" s="2"/>
      <c r="F8" s="2"/>
      <c r="G8" s="2"/>
      <c r="H8" s="2"/>
      <c r="I8" s="2"/>
      <c r="J8" s="2"/>
    </row>
    <row r="9" spans="2:10">
      <c r="B9" s="2"/>
      <c r="C9" s="46"/>
      <c r="D9" s="46"/>
      <c r="E9" s="46"/>
      <c r="F9" s="46"/>
      <c r="G9" s="46"/>
      <c r="H9" s="46"/>
      <c r="I9" s="46"/>
      <c r="J9" s="2"/>
    </row>
    <row r="10" spans="2:10">
      <c r="B10" s="2"/>
      <c r="C10" s="46" t="s">
        <v>353</v>
      </c>
      <c r="D10" s="46"/>
      <c r="E10" s="46"/>
      <c r="F10" s="46"/>
      <c r="G10" s="46"/>
      <c r="H10" s="46"/>
      <c r="I10" s="46"/>
      <c r="J10" s="2"/>
    </row>
    <row r="11" spans="2:10">
      <c r="B11" s="2"/>
      <c r="C11" s="47" t="str">
        <f>CONCATENATE("Untuk Periode Yang Berakhir Pada ",TEXT(DATE(YEAR('Data Umum'!D11), MONTH('Data Umum'!D11)+1, 0),"DD")&amp;"-"&amp;CONCATENATE(TEXT('Data Umum'!D11, "MMM-YYYY")))</f>
        <v>Untuk Periode Yang Berakhir Pada 31-Jan-1900</v>
      </c>
      <c r="D11" s="47"/>
      <c r="E11" s="47"/>
      <c r="F11" s="47"/>
      <c r="G11" s="47"/>
      <c r="H11" s="47"/>
      <c r="I11" s="47"/>
      <c r="J11" s="2"/>
    </row>
    <row r="12" spans="2:10" hidden="1">
      <c r="B12" s="2"/>
      <c r="C12" s="2"/>
      <c r="D12" s="2"/>
      <c r="E12" s="2"/>
      <c r="F12" s="2"/>
      <c r="G12" s="2"/>
      <c r="H12" s="2"/>
      <c r="I12" s="2"/>
      <c r="J12" s="2"/>
    </row>
    <row r="13" spans="2:10">
      <c r="B13" s="2"/>
      <c r="C13" s="48" t="s">
        <v>232</v>
      </c>
      <c r="D13" s="48"/>
      <c r="E13" s="48"/>
      <c r="F13" s="48"/>
      <c r="G13" s="48"/>
      <c r="H13" s="48"/>
      <c r="I13" s="48"/>
      <c r="J13" s="2"/>
    </row>
    <row r="14" spans="2:10">
      <c r="B14" s="2"/>
      <c r="C14" s="40" t="s">
        <v>354</v>
      </c>
      <c r="D14" s="38"/>
      <c r="E14" s="40" t="str">
        <f>""</f>
        <v/>
      </c>
      <c r="F14" s="38"/>
      <c r="G14" s="40" t="str">
        <f>" Dana Investasi Peserta 	"</f>
        <v xml:space="preserve"> Dana Investasi Peserta 	</v>
      </c>
      <c r="H14" s="38"/>
      <c r="I14" s="43" t="str">
        <f>""</f>
        <v/>
      </c>
      <c r="J14" s="2"/>
    </row>
    <row r="15" spans="2:10">
      <c r="B15" s="2"/>
      <c r="C15" s="41"/>
      <c r="D15" s="42"/>
      <c r="E15" s="43" t="str">
        <f>" Dana Perusahaan  "</f>
        <v xml:space="preserve"> Dana Perusahaan  </v>
      </c>
      <c r="F15" s="43" t="str">
        <f>" Dana Tabarru'"</f>
        <v xml:space="preserve"> Dana Tabarru'</v>
      </c>
      <c r="G15" s="43" t="str">
        <f>" Akad Wakalah Bil Ujrah "</f>
        <v xml:space="preserve"> Akad Wakalah Bil Ujrah </v>
      </c>
      <c r="H15" s="43" t="str">
        <f>" Akad Mudharabah "</f>
        <v xml:space="preserve"> Akad Mudharabah </v>
      </c>
      <c r="I15" s="43" t="str">
        <f>"Gabungan"</f>
        <v>Gabungan</v>
      </c>
      <c r="J15" s="2"/>
    </row>
    <row r="16" spans="2:10">
      <c r="B16" s="2"/>
      <c r="C16" s="37" t="s">
        <v>355</v>
      </c>
      <c r="D16" s="38"/>
      <c r="E16" s="51">
        <v>0</v>
      </c>
      <c r="F16" s="51">
        <v>0</v>
      </c>
      <c r="G16" s="51">
        <v>0</v>
      </c>
      <c r="H16" s="51">
        <v>0</v>
      </c>
      <c r="I16" s="18">
        <f>SUM(E16:H16)</f>
        <v>0</v>
      </c>
      <c r="J16" s="2"/>
    </row>
    <row r="17" spans="2:10">
      <c r="B17" s="2"/>
      <c r="C17" s="37" t="s">
        <v>356</v>
      </c>
      <c r="D17" s="38"/>
      <c r="E17" s="18">
        <f>E19+E42+E56</f>
        <v>0</v>
      </c>
      <c r="F17" s="18">
        <f>F19+F42+F56</f>
        <v>0</v>
      </c>
      <c r="G17" s="18">
        <f>G19+G42+G56</f>
        <v>0</v>
      </c>
      <c r="H17" s="18">
        <f>H19+H42+H56</f>
        <v>0</v>
      </c>
      <c r="I17" s="18">
        <f>I19+I42+I56</f>
        <v>0</v>
      </c>
      <c r="J17" s="2"/>
    </row>
    <row r="18" spans="2:10">
      <c r="B18" s="2"/>
      <c r="C18" s="37" t="s">
        <v>357</v>
      </c>
      <c r="D18" s="38"/>
      <c r="E18" s="18">
        <f>E16+E17</f>
        <v>0</v>
      </c>
      <c r="F18" s="18">
        <f>F16+F17</f>
        <v>0</v>
      </c>
      <c r="G18" s="18">
        <f>G16+G17</f>
        <v>0</v>
      </c>
      <c r="H18" s="18">
        <f>H16+H17</f>
        <v>0</v>
      </c>
      <c r="I18" s="18">
        <f>I16+I17</f>
        <v>0</v>
      </c>
      <c r="J18" s="2"/>
    </row>
    <row r="19" spans="2:10">
      <c r="B19" s="2"/>
      <c r="C19" s="37" t="s">
        <v>358</v>
      </c>
      <c r="D19" s="38"/>
      <c r="E19" s="18">
        <f>E20-E27</f>
        <v>0</v>
      </c>
      <c r="F19" s="18">
        <f>F20-F27</f>
        <v>0</v>
      </c>
      <c r="G19" s="18">
        <f>G20-G27</f>
        <v>0</v>
      </c>
      <c r="H19" s="18">
        <f>H20-H27</f>
        <v>0</v>
      </c>
      <c r="I19" s="18">
        <f>I20-I27</f>
        <v>0</v>
      </c>
      <c r="J19" s="2"/>
    </row>
    <row r="20" spans="2:10">
      <c r="B20" s="2"/>
      <c r="C20" s="35" t="s">
        <v>359</v>
      </c>
      <c r="D20" s="36"/>
      <c r="E20" s="18">
        <f>SUM(E21:E26)</f>
        <v>0</v>
      </c>
      <c r="F20" s="18">
        <f>SUM(F21:F26)</f>
        <v>0</v>
      </c>
      <c r="G20" s="18">
        <f>SUM(G21:G26)</f>
        <v>0</v>
      </c>
      <c r="H20" s="18">
        <f>SUM(H21:H26)</f>
        <v>0</v>
      </c>
      <c r="I20" s="18">
        <f>SUM(I21:I26)</f>
        <v>0</v>
      </c>
      <c r="J20" s="2"/>
    </row>
    <row r="21" spans="2:10">
      <c r="B21" s="2"/>
      <c r="C21" s="32" t="s">
        <v>360</v>
      </c>
      <c r="D21" s="33"/>
      <c r="E21" s="18">
        <f>0</f>
        <v>0</v>
      </c>
      <c r="F21" s="51">
        <v>0</v>
      </c>
      <c r="G21" s="51">
        <v>0</v>
      </c>
      <c r="H21" s="51">
        <v>0</v>
      </c>
      <c r="I21" s="18">
        <f t="shared" ref="I21:I26" si="0">SUM(E21:H21)</f>
        <v>0</v>
      </c>
      <c r="J21" s="2"/>
    </row>
    <row r="22" spans="2:10">
      <c r="B22" s="2"/>
      <c r="C22" s="32" t="s">
        <v>361</v>
      </c>
      <c r="D22" s="33"/>
      <c r="E22" s="51">
        <v>0</v>
      </c>
      <c r="F22" s="18">
        <f>0</f>
        <v>0</v>
      </c>
      <c r="G22" s="18">
        <f>0</f>
        <v>0</v>
      </c>
      <c r="H22" s="18">
        <f>0</f>
        <v>0</v>
      </c>
      <c r="I22" s="18">
        <f t="shared" si="0"/>
        <v>0</v>
      </c>
      <c r="J22" s="2"/>
    </row>
    <row r="23" spans="2:10">
      <c r="B23" s="2"/>
      <c r="C23" s="32" t="s">
        <v>362</v>
      </c>
      <c r="D23" s="33"/>
      <c r="E23" s="51">
        <v>0</v>
      </c>
      <c r="F23" s="18">
        <f>0</f>
        <v>0</v>
      </c>
      <c r="G23" s="18">
        <f>0</f>
        <v>0</v>
      </c>
      <c r="H23" s="18">
        <f>0</f>
        <v>0</v>
      </c>
      <c r="I23" s="18">
        <f t="shared" si="0"/>
        <v>0</v>
      </c>
      <c r="J23" s="2"/>
    </row>
    <row r="24" spans="2:10">
      <c r="B24" s="2"/>
      <c r="C24" s="32" t="s">
        <v>363</v>
      </c>
      <c r="D24" s="33"/>
      <c r="E24" s="18">
        <f>0</f>
        <v>0</v>
      </c>
      <c r="F24" s="51">
        <v>0</v>
      </c>
      <c r="G24" s="18">
        <f>0</f>
        <v>0</v>
      </c>
      <c r="H24" s="18">
        <f>0</f>
        <v>0</v>
      </c>
      <c r="I24" s="18">
        <f t="shared" si="0"/>
        <v>0</v>
      </c>
      <c r="J24" s="2"/>
    </row>
    <row r="25" spans="2:10">
      <c r="B25" s="2"/>
      <c r="C25" s="32" t="s">
        <v>364</v>
      </c>
      <c r="D25" s="33"/>
      <c r="E25" s="18">
        <f>0</f>
        <v>0</v>
      </c>
      <c r="F25" s="51">
        <v>0</v>
      </c>
      <c r="G25" s="18">
        <f>0</f>
        <v>0</v>
      </c>
      <c r="H25" s="18">
        <f>0</f>
        <v>0</v>
      </c>
      <c r="I25" s="18">
        <f t="shared" si="0"/>
        <v>0</v>
      </c>
      <c r="J25" s="2"/>
    </row>
    <row r="26" spans="2:10">
      <c r="B26" s="2"/>
      <c r="C26" s="32" t="s">
        <v>365</v>
      </c>
      <c r="D26" s="33"/>
      <c r="E26" s="51">
        <v>0</v>
      </c>
      <c r="F26" s="51">
        <v>0</v>
      </c>
      <c r="G26" s="51">
        <v>0</v>
      </c>
      <c r="H26" s="51">
        <v>0</v>
      </c>
      <c r="I26" s="18">
        <f t="shared" si="0"/>
        <v>0</v>
      </c>
      <c r="J26" s="2"/>
    </row>
    <row r="27" spans="2:10">
      <c r="B27" s="2"/>
      <c r="C27" s="35" t="s">
        <v>366</v>
      </c>
      <c r="D27" s="36"/>
      <c r="E27" s="18">
        <f>SUM(E28:E41)</f>
        <v>0</v>
      </c>
      <c r="F27" s="18">
        <f>SUM(F28:F41)</f>
        <v>0</v>
      </c>
      <c r="G27" s="18">
        <f>SUM(G28:G41)</f>
        <v>0</v>
      </c>
      <c r="H27" s="18">
        <f>SUM(H28:H41)</f>
        <v>0</v>
      </c>
      <c r="I27" s="18">
        <f>SUM(I28:I41)</f>
        <v>0</v>
      </c>
      <c r="J27" s="2"/>
    </row>
    <row r="28" spans="2:10">
      <c r="B28" s="2"/>
      <c r="C28" s="32" t="s">
        <v>367</v>
      </c>
      <c r="D28" s="33"/>
      <c r="E28" s="18">
        <f>0</f>
        <v>0</v>
      </c>
      <c r="F28" s="51">
        <v>0</v>
      </c>
      <c r="G28" s="51">
        <v>0</v>
      </c>
      <c r="H28" s="51">
        <v>0</v>
      </c>
      <c r="I28" s="18">
        <f t="shared" ref="I28:I41" si="1">SUM(E28:H28)</f>
        <v>0</v>
      </c>
      <c r="J28" s="2"/>
    </row>
    <row r="29" spans="2:10">
      <c r="B29" s="2"/>
      <c r="C29" s="32" t="s">
        <v>368</v>
      </c>
      <c r="D29" s="33"/>
      <c r="E29" s="18">
        <f>0</f>
        <v>0</v>
      </c>
      <c r="F29" s="18">
        <f>0</f>
        <v>0</v>
      </c>
      <c r="G29" s="51">
        <v>0</v>
      </c>
      <c r="H29" s="51">
        <v>0</v>
      </c>
      <c r="I29" s="18">
        <f t="shared" si="1"/>
        <v>0</v>
      </c>
      <c r="J29" s="2"/>
    </row>
    <row r="30" spans="2:10">
      <c r="B30" s="2"/>
      <c r="C30" s="32" t="s">
        <v>369</v>
      </c>
      <c r="D30" s="33"/>
      <c r="E30" s="18">
        <f>0</f>
        <v>0</v>
      </c>
      <c r="F30" s="18">
        <f>0</f>
        <v>0</v>
      </c>
      <c r="G30" s="51">
        <v>0</v>
      </c>
      <c r="H30" s="51">
        <v>0</v>
      </c>
      <c r="I30" s="18">
        <f t="shared" si="1"/>
        <v>0</v>
      </c>
      <c r="J30" s="2"/>
    </row>
    <row r="31" spans="2:10">
      <c r="B31" s="2"/>
      <c r="C31" s="32" t="s">
        <v>370</v>
      </c>
      <c r="D31" s="33"/>
      <c r="E31" s="18">
        <f>0</f>
        <v>0</v>
      </c>
      <c r="F31" s="51">
        <v>0</v>
      </c>
      <c r="G31" s="18">
        <f>0</f>
        <v>0</v>
      </c>
      <c r="H31" s="18">
        <f>0</f>
        <v>0</v>
      </c>
      <c r="I31" s="18">
        <f t="shared" si="1"/>
        <v>0</v>
      </c>
      <c r="J31" s="2"/>
    </row>
    <row r="32" spans="2:10">
      <c r="B32" s="2"/>
      <c r="C32" s="32" t="s">
        <v>371</v>
      </c>
      <c r="D32" s="33"/>
      <c r="E32" s="18">
        <f>0</f>
        <v>0</v>
      </c>
      <c r="F32" s="51">
        <v>0</v>
      </c>
      <c r="G32" s="18">
        <f>0</f>
        <v>0</v>
      </c>
      <c r="H32" s="18">
        <f>0</f>
        <v>0</v>
      </c>
      <c r="I32" s="18">
        <f t="shared" si="1"/>
        <v>0</v>
      </c>
      <c r="J32" s="2"/>
    </row>
    <row r="33" spans="2:10">
      <c r="B33" s="2"/>
      <c r="C33" s="32" t="s">
        <v>372</v>
      </c>
      <c r="D33" s="33"/>
      <c r="E33" s="51">
        <v>0</v>
      </c>
      <c r="F33" s="18">
        <f>0</f>
        <v>0</v>
      </c>
      <c r="G33" s="18">
        <f>0</f>
        <v>0</v>
      </c>
      <c r="H33" s="18">
        <f>0</f>
        <v>0</v>
      </c>
      <c r="I33" s="18">
        <f t="shared" si="1"/>
        <v>0</v>
      </c>
      <c r="J33" s="2"/>
    </row>
    <row r="34" spans="2:10">
      <c r="B34" s="2"/>
      <c r="C34" s="32" t="s">
        <v>373</v>
      </c>
      <c r="D34" s="33"/>
      <c r="E34" s="51">
        <v>0</v>
      </c>
      <c r="F34" s="18">
        <f>0</f>
        <v>0</v>
      </c>
      <c r="G34" s="18">
        <f>0</f>
        <v>0</v>
      </c>
      <c r="H34" s="18">
        <f>0</f>
        <v>0</v>
      </c>
      <c r="I34" s="18">
        <f t="shared" si="1"/>
        <v>0</v>
      </c>
      <c r="J34" s="2"/>
    </row>
    <row r="35" spans="2:10">
      <c r="B35" s="2"/>
      <c r="C35" s="32" t="s">
        <v>374</v>
      </c>
      <c r="D35" s="33"/>
      <c r="E35" s="51">
        <v>0</v>
      </c>
      <c r="F35" s="18">
        <f>0</f>
        <v>0</v>
      </c>
      <c r="G35" s="18">
        <f>0</f>
        <v>0</v>
      </c>
      <c r="H35" s="18">
        <f>0</f>
        <v>0</v>
      </c>
      <c r="I35" s="18">
        <f t="shared" si="1"/>
        <v>0</v>
      </c>
      <c r="J35" s="2"/>
    </row>
    <row r="36" spans="2:10">
      <c r="B36" s="2"/>
      <c r="C36" s="32" t="s">
        <v>375</v>
      </c>
      <c r="D36" s="33"/>
      <c r="E36" s="18">
        <f>0</f>
        <v>0</v>
      </c>
      <c r="F36" s="51">
        <v>0</v>
      </c>
      <c r="G36" s="18">
        <f>0</f>
        <v>0</v>
      </c>
      <c r="H36" s="18">
        <f>0</f>
        <v>0</v>
      </c>
      <c r="I36" s="18">
        <f t="shared" si="1"/>
        <v>0</v>
      </c>
      <c r="J36" s="2"/>
    </row>
    <row r="37" spans="2:10">
      <c r="B37" s="2"/>
      <c r="C37" s="32" t="s">
        <v>376</v>
      </c>
      <c r="D37" s="33"/>
      <c r="E37" s="51">
        <v>0</v>
      </c>
      <c r="F37" s="51">
        <v>0</v>
      </c>
      <c r="G37" s="18">
        <f>0</f>
        <v>0</v>
      </c>
      <c r="H37" s="18">
        <f>0</f>
        <v>0</v>
      </c>
      <c r="I37" s="18">
        <f t="shared" si="1"/>
        <v>0</v>
      </c>
      <c r="J37" s="2"/>
    </row>
    <row r="38" spans="2:10">
      <c r="B38" s="2"/>
      <c r="C38" s="32" t="s">
        <v>377</v>
      </c>
      <c r="D38" s="33"/>
      <c r="E38" s="51">
        <v>0</v>
      </c>
      <c r="F38" s="18">
        <f>0</f>
        <v>0</v>
      </c>
      <c r="G38" s="18">
        <f>0</f>
        <v>0</v>
      </c>
      <c r="H38" s="18">
        <f>0</f>
        <v>0</v>
      </c>
      <c r="I38" s="18">
        <f t="shared" si="1"/>
        <v>0</v>
      </c>
      <c r="J38" s="2"/>
    </row>
    <row r="39" spans="2:10">
      <c r="B39" s="2"/>
      <c r="C39" s="32" t="s">
        <v>378</v>
      </c>
      <c r="D39" s="33"/>
      <c r="E39" s="51">
        <v>0</v>
      </c>
      <c r="F39" s="18">
        <f>0</f>
        <v>0</v>
      </c>
      <c r="G39" s="18">
        <f>0</f>
        <v>0</v>
      </c>
      <c r="H39" s="18">
        <f>0</f>
        <v>0</v>
      </c>
      <c r="I39" s="18">
        <f t="shared" si="1"/>
        <v>0</v>
      </c>
      <c r="J39" s="2"/>
    </row>
    <row r="40" spans="2:10">
      <c r="B40" s="2"/>
      <c r="C40" s="32" t="s">
        <v>379</v>
      </c>
      <c r="D40" s="33"/>
      <c r="E40" s="51">
        <v>0</v>
      </c>
      <c r="F40" s="18">
        <f>0</f>
        <v>0</v>
      </c>
      <c r="G40" s="18">
        <f>0</f>
        <v>0</v>
      </c>
      <c r="H40" s="18">
        <f>0</f>
        <v>0</v>
      </c>
      <c r="I40" s="18">
        <f t="shared" si="1"/>
        <v>0</v>
      </c>
      <c r="J40" s="2"/>
    </row>
    <row r="41" spans="2:10">
      <c r="B41" s="2"/>
      <c r="C41" s="32" t="s">
        <v>380</v>
      </c>
      <c r="D41" s="33"/>
      <c r="E41" s="51">
        <v>0</v>
      </c>
      <c r="F41" s="51">
        <v>0</v>
      </c>
      <c r="G41" s="51">
        <v>0</v>
      </c>
      <c r="H41" s="51">
        <v>0</v>
      </c>
      <c r="I41" s="18">
        <f t="shared" si="1"/>
        <v>0</v>
      </c>
      <c r="J41" s="2"/>
    </row>
    <row r="42" spans="2:10">
      <c r="B42" s="2"/>
      <c r="C42" s="37" t="s">
        <v>381</v>
      </c>
      <c r="D42" s="38"/>
      <c r="E42" s="18">
        <f>E43-E50</f>
        <v>0</v>
      </c>
      <c r="F42" s="18">
        <f>F43-F50</f>
        <v>0</v>
      </c>
      <c r="G42" s="18">
        <f>G43-G50</f>
        <v>0</v>
      </c>
      <c r="H42" s="18">
        <f>H43-H50</f>
        <v>0</v>
      </c>
      <c r="I42" s="18">
        <f>I43-I50</f>
        <v>0</v>
      </c>
      <c r="J42" s="2"/>
    </row>
    <row r="43" spans="2:10">
      <c r="B43" s="2"/>
      <c r="C43" s="35" t="s">
        <v>359</v>
      </c>
      <c r="D43" s="36"/>
      <c r="E43" s="18">
        <f>SUM(E44:E49)</f>
        <v>0</v>
      </c>
      <c r="F43" s="18">
        <f>SUM(F44:F49)</f>
        <v>0</v>
      </c>
      <c r="G43" s="18">
        <f>SUM(G44:G49)</f>
        <v>0</v>
      </c>
      <c r="H43" s="18">
        <f>SUM(H44:H49)</f>
        <v>0</v>
      </c>
      <c r="I43" s="18">
        <f>SUM(I44:I49)</f>
        <v>0</v>
      </c>
      <c r="J43" s="2"/>
    </row>
    <row r="44" spans="2:10">
      <c r="B44" s="2"/>
      <c r="C44" s="32" t="s">
        <v>382</v>
      </c>
      <c r="D44" s="33"/>
      <c r="E44" s="51">
        <v>0</v>
      </c>
      <c r="F44" s="51">
        <v>0</v>
      </c>
      <c r="G44" s="51">
        <v>0</v>
      </c>
      <c r="H44" s="51">
        <v>0</v>
      </c>
      <c r="I44" s="18">
        <f t="shared" ref="I44:I49" si="2">SUM(E44:H44)</f>
        <v>0</v>
      </c>
      <c r="J44" s="2"/>
    </row>
    <row r="45" spans="2:10">
      <c r="B45" s="2"/>
      <c r="C45" s="32" t="s">
        <v>383</v>
      </c>
      <c r="D45" s="33"/>
      <c r="E45" s="51">
        <v>0</v>
      </c>
      <c r="F45" s="18">
        <f>0</f>
        <v>0</v>
      </c>
      <c r="G45" s="18">
        <f>0</f>
        <v>0</v>
      </c>
      <c r="H45" s="18">
        <f>0</f>
        <v>0</v>
      </c>
      <c r="I45" s="18">
        <f t="shared" si="2"/>
        <v>0</v>
      </c>
      <c r="J45" s="2"/>
    </row>
    <row r="46" spans="2:10">
      <c r="B46" s="2"/>
      <c r="C46" s="32" t="s">
        <v>384</v>
      </c>
      <c r="D46" s="33"/>
      <c r="E46" s="51">
        <v>0</v>
      </c>
      <c r="F46" s="18">
        <f>0</f>
        <v>0</v>
      </c>
      <c r="G46" s="18">
        <f>0</f>
        <v>0</v>
      </c>
      <c r="H46" s="18">
        <f>0</f>
        <v>0</v>
      </c>
      <c r="I46" s="18">
        <f t="shared" si="2"/>
        <v>0</v>
      </c>
      <c r="J46" s="2"/>
    </row>
    <row r="47" spans="2:10">
      <c r="B47" s="2"/>
      <c r="C47" s="32" t="s">
        <v>385</v>
      </c>
      <c r="D47" s="33"/>
      <c r="E47" s="51">
        <v>0</v>
      </c>
      <c r="F47" s="51">
        <v>0</v>
      </c>
      <c r="G47" s="51">
        <v>0</v>
      </c>
      <c r="H47" s="51">
        <v>0</v>
      </c>
      <c r="I47" s="18">
        <f t="shared" si="2"/>
        <v>0</v>
      </c>
      <c r="J47" s="2"/>
    </row>
    <row r="48" spans="2:10">
      <c r="B48" s="2"/>
      <c r="C48" s="32" t="s">
        <v>386</v>
      </c>
      <c r="D48" s="33"/>
      <c r="E48" s="51">
        <v>0</v>
      </c>
      <c r="F48" s="18">
        <f>0</f>
        <v>0</v>
      </c>
      <c r="G48" s="18">
        <f>0</f>
        <v>0</v>
      </c>
      <c r="H48" s="18">
        <f>0</f>
        <v>0</v>
      </c>
      <c r="I48" s="18">
        <f t="shared" si="2"/>
        <v>0</v>
      </c>
      <c r="J48" s="2"/>
    </row>
    <row r="49" spans="2:10">
      <c r="B49" s="2"/>
      <c r="C49" s="32" t="s">
        <v>380</v>
      </c>
      <c r="D49" s="33"/>
      <c r="E49" s="51">
        <v>0</v>
      </c>
      <c r="F49" s="51">
        <v>0</v>
      </c>
      <c r="G49" s="51">
        <v>0</v>
      </c>
      <c r="H49" s="51">
        <v>0</v>
      </c>
      <c r="I49" s="18">
        <f t="shared" si="2"/>
        <v>0</v>
      </c>
      <c r="J49" s="2"/>
    </row>
    <row r="50" spans="2:10">
      <c r="B50" s="2"/>
      <c r="C50" s="35" t="s">
        <v>366</v>
      </c>
      <c r="D50" s="36"/>
      <c r="E50" s="18">
        <f>SUM(E51:E55)</f>
        <v>0</v>
      </c>
      <c r="F50" s="18">
        <f>SUM(F51:F55)</f>
        <v>0</v>
      </c>
      <c r="G50" s="18">
        <f>SUM(G51:G55)</f>
        <v>0</v>
      </c>
      <c r="H50" s="18">
        <f>SUM(H51:H55)</f>
        <v>0</v>
      </c>
      <c r="I50" s="18">
        <f>SUM(I51:I55)</f>
        <v>0</v>
      </c>
      <c r="J50" s="2"/>
    </row>
    <row r="51" spans="2:10">
      <c r="B51" s="2"/>
      <c r="C51" s="32" t="s">
        <v>387</v>
      </c>
      <c r="D51" s="33"/>
      <c r="E51" s="51">
        <v>0</v>
      </c>
      <c r="F51" s="51">
        <v>0</v>
      </c>
      <c r="G51" s="51">
        <v>0</v>
      </c>
      <c r="H51" s="51">
        <v>0</v>
      </c>
      <c r="I51" s="18">
        <f>SUM(E51:H51)</f>
        <v>0</v>
      </c>
      <c r="J51" s="2"/>
    </row>
    <row r="52" spans="2:10">
      <c r="B52" s="2"/>
      <c r="C52" s="32" t="s">
        <v>304</v>
      </c>
      <c r="D52" s="33"/>
      <c r="E52" s="18">
        <f>0</f>
        <v>0</v>
      </c>
      <c r="F52" s="51">
        <v>0</v>
      </c>
      <c r="G52" s="51">
        <v>0</v>
      </c>
      <c r="H52" s="51">
        <v>0</v>
      </c>
      <c r="I52" s="18">
        <f>SUM(E52:H52)</f>
        <v>0</v>
      </c>
      <c r="J52" s="2"/>
    </row>
    <row r="53" spans="2:10">
      <c r="B53" s="2"/>
      <c r="C53" s="32" t="s">
        <v>388</v>
      </c>
      <c r="D53" s="33"/>
      <c r="E53" s="18">
        <f>0</f>
        <v>0</v>
      </c>
      <c r="F53" s="51">
        <v>0</v>
      </c>
      <c r="G53" s="51">
        <v>0</v>
      </c>
      <c r="H53" s="51">
        <v>0</v>
      </c>
      <c r="I53" s="18">
        <f>SUM(E53:H53)</f>
        <v>0</v>
      </c>
      <c r="J53" s="2"/>
    </row>
    <row r="54" spans="2:10">
      <c r="B54" s="2"/>
      <c r="C54" s="32" t="s">
        <v>389</v>
      </c>
      <c r="D54" s="33"/>
      <c r="E54" s="51">
        <v>0</v>
      </c>
      <c r="F54" s="18">
        <f>0</f>
        <v>0</v>
      </c>
      <c r="G54" s="18">
        <f>0</f>
        <v>0</v>
      </c>
      <c r="H54" s="18">
        <f>0</f>
        <v>0</v>
      </c>
      <c r="I54" s="18">
        <f>SUM(E54:H54)</f>
        <v>0</v>
      </c>
      <c r="J54" s="2"/>
    </row>
    <row r="55" spans="2:10">
      <c r="B55" s="2"/>
      <c r="C55" s="32" t="s">
        <v>380</v>
      </c>
      <c r="D55" s="33"/>
      <c r="E55" s="51">
        <v>0</v>
      </c>
      <c r="F55" s="51">
        <v>0</v>
      </c>
      <c r="G55" s="51">
        <v>0</v>
      </c>
      <c r="H55" s="51">
        <v>0</v>
      </c>
      <c r="I55" s="18">
        <f>SUM(E55:H55)</f>
        <v>0</v>
      </c>
      <c r="J55" s="2"/>
    </row>
    <row r="56" spans="2:10">
      <c r="B56" s="2"/>
      <c r="C56" s="37" t="s">
        <v>390</v>
      </c>
      <c r="D56" s="38"/>
      <c r="E56" s="18">
        <f>E57-E62</f>
        <v>0</v>
      </c>
      <c r="F56" s="18">
        <f>F57-F62</f>
        <v>0</v>
      </c>
      <c r="G56" s="18">
        <f>G57-G62</f>
        <v>0</v>
      </c>
      <c r="H56" s="18">
        <f>H57-H62</f>
        <v>0</v>
      </c>
      <c r="I56" s="18">
        <f>I57-I62</f>
        <v>0</v>
      </c>
      <c r="J56" s="2"/>
    </row>
    <row r="57" spans="2:10">
      <c r="B57" s="2"/>
      <c r="C57" s="35" t="s">
        <v>359</v>
      </c>
      <c r="D57" s="36"/>
      <c r="E57" s="18">
        <f>SUM(E58:E61)</f>
        <v>0</v>
      </c>
      <c r="F57" s="18">
        <f>SUM(F58:F61)</f>
        <v>0</v>
      </c>
      <c r="G57" s="18">
        <f>SUM(G58:G61)</f>
        <v>0</v>
      </c>
      <c r="H57" s="18">
        <f>SUM(H58:H61)</f>
        <v>0</v>
      </c>
      <c r="I57" s="18">
        <f>SUM(I58:I61)</f>
        <v>0</v>
      </c>
      <c r="J57" s="2"/>
    </row>
    <row r="58" spans="2:10">
      <c r="B58" s="2"/>
      <c r="C58" s="32" t="s">
        <v>391</v>
      </c>
      <c r="D58" s="33"/>
      <c r="E58" s="51">
        <v>0</v>
      </c>
      <c r="F58" s="18">
        <f>0</f>
        <v>0</v>
      </c>
      <c r="G58" s="18">
        <f>0</f>
        <v>0</v>
      </c>
      <c r="H58" s="18">
        <f>0</f>
        <v>0</v>
      </c>
      <c r="I58" s="18">
        <f>SUM(E58:H58)</f>
        <v>0</v>
      </c>
      <c r="J58" s="2"/>
    </row>
    <row r="59" spans="2:10">
      <c r="B59" s="2"/>
      <c r="C59" s="32" t="s">
        <v>392</v>
      </c>
      <c r="D59" s="33"/>
      <c r="E59" s="51">
        <v>0</v>
      </c>
      <c r="F59" s="18">
        <f>0</f>
        <v>0</v>
      </c>
      <c r="G59" s="18">
        <f>0</f>
        <v>0</v>
      </c>
      <c r="H59" s="18">
        <f>0</f>
        <v>0</v>
      </c>
      <c r="I59" s="18">
        <f>SUM(E59:H59)</f>
        <v>0</v>
      </c>
      <c r="J59" s="2"/>
    </row>
    <row r="60" spans="2:10">
      <c r="B60" s="2"/>
      <c r="C60" s="32" t="s">
        <v>393</v>
      </c>
      <c r="D60" s="33"/>
      <c r="E60" s="18">
        <f>0</f>
        <v>0</v>
      </c>
      <c r="F60" s="51">
        <v>0</v>
      </c>
      <c r="G60" s="18">
        <f>0</f>
        <v>0</v>
      </c>
      <c r="H60" s="18">
        <f>0</f>
        <v>0</v>
      </c>
      <c r="I60" s="18">
        <f>SUM(E60:H60)</f>
        <v>0</v>
      </c>
      <c r="J60" s="2"/>
    </row>
    <row r="61" spans="2:10">
      <c r="B61" s="2"/>
      <c r="C61" s="32" t="s">
        <v>380</v>
      </c>
      <c r="D61" s="33"/>
      <c r="E61" s="51">
        <v>0</v>
      </c>
      <c r="F61" s="51">
        <v>0</v>
      </c>
      <c r="G61" s="51">
        <v>0</v>
      </c>
      <c r="H61" s="51">
        <v>0</v>
      </c>
      <c r="I61" s="18">
        <f>SUM(E61:H61)</f>
        <v>0</v>
      </c>
      <c r="J61" s="2"/>
    </row>
    <row r="62" spans="2:10">
      <c r="B62" s="2"/>
      <c r="C62" s="35" t="s">
        <v>366</v>
      </c>
      <c r="D62" s="36"/>
      <c r="E62" s="18">
        <f>SUM(E63:E66)</f>
        <v>0</v>
      </c>
      <c r="F62" s="18">
        <f>SUM(F63:F66)</f>
        <v>0</v>
      </c>
      <c r="G62" s="18">
        <f>SUM(G63:G66)</f>
        <v>0</v>
      </c>
      <c r="H62" s="18">
        <f>SUM(H63:H66)</f>
        <v>0</v>
      </c>
      <c r="I62" s="18">
        <f>SUM(I63:I66)</f>
        <v>0</v>
      </c>
      <c r="J62" s="2"/>
    </row>
    <row r="63" spans="2:10">
      <c r="B63" s="2"/>
      <c r="C63" s="32" t="s">
        <v>394</v>
      </c>
      <c r="D63" s="33"/>
      <c r="E63" s="51">
        <v>0</v>
      </c>
      <c r="F63" s="18">
        <f>0</f>
        <v>0</v>
      </c>
      <c r="G63" s="18">
        <f>0</f>
        <v>0</v>
      </c>
      <c r="H63" s="18">
        <f>0</f>
        <v>0</v>
      </c>
      <c r="I63" s="18">
        <f>SUM(E63:H63)</f>
        <v>0</v>
      </c>
      <c r="J63" s="2"/>
    </row>
    <row r="64" spans="2:10">
      <c r="B64" s="2"/>
      <c r="C64" s="32" t="s">
        <v>395</v>
      </c>
      <c r="D64" s="33"/>
      <c r="E64" s="51">
        <v>0</v>
      </c>
      <c r="F64" s="18">
        <f>0</f>
        <v>0</v>
      </c>
      <c r="G64" s="18">
        <f>0</f>
        <v>0</v>
      </c>
      <c r="H64" s="18">
        <f>0</f>
        <v>0</v>
      </c>
      <c r="I64" s="18">
        <f>SUM(E64:H64)</f>
        <v>0</v>
      </c>
      <c r="J64" s="2"/>
    </row>
    <row r="65" spans="2:10">
      <c r="B65" s="2"/>
      <c r="C65" s="32" t="s">
        <v>396</v>
      </c>
      <c r="D65" s="33"/>
      <c r="E65" s="18">
        <f>0</f>
        <v>0</v>
      </c>
      <c r="F65" s="51">
        <v>0</v>
      </c>
      <c r="G65" s="18">
        <f>0</f>
        <v>0</v>
      </c>
      <c r="H65" s="18">
        <f>0</f>
        <v>0</v>
      </c>
      <c r="I65" s="18">
        <f>SUM(E65:H65)</f>
        <v>0</v>
      </c>
      <c r="J65" s="2"/>
    </row>
    <row r="66" spans="2:10">
      <c r="B66" s="2"/>
      <c r="C66" s="32" t="s">
        <v>380</v>
      </c>
      <c r="D66" s="33"/>
      <c r="E66" s="51">
        <v>0</v>
      </c>
      <c r="F66" s="51">
        <v>0</v>
      </c>
      <c r="G66" s="51">
        <v>0</v>
      </c>
      <c r="H66" s="51">
        <v>0</v>
      </c>
      <c r="I66" s="18">
        <f>SUM(E66:H66)</f>
        <v>0</v>
      </c>
      <c r="J66" s="2"/>
    </row>
    <row r="67" spans="2:10">
      <c r="B67" s="2"/>
      <c r="C67" s="2"/>
      <c r="D67" s="2"/>
      <c r="E67" s="2"/>
      <c r="F67" s="2"/>
      <c r="G67" s="2"/>
      <c r="H67" s="2"/>
      <c r="I67" s="2"/>
      <c r="J67" s="2"/>
    </row>
    <row r="68" spans="2:10" ht="5.0999999999999996" customHeight="1">
      <c r="B68" s="2"/>
      <c r="C68" s="2"/>
      <c r="D68" s="2"/>
      <c r="E68" s="2"/>
      <c r="F68" s="2"/>
      <c r="G68" s="2"/>
      <c r="H68" s="2"/>
      <c r="I68" s="2"/>
      <c r="J68" s="2"/>
    </row>
  </sheetData>
  <sheetProtection sheet="1" formatColumns="0" formatRows="0" selectLockedCells="1"/>
  <mergeCells count="146">
    <mergeCell ref="C7:I7"/>
    <mergeCell ref="C9:I9"/>
    <mergeCell ref="C10:I10"/>
    <mergeCell ref="C11:I11"/>
    <mergeCell ref="C13:I13"/>
    <mergeCell ref="H15"/>
    <mergeCell ref="I14"/>
    <mergeCell ref="G14:H14"/>
    <mergeCell ref="I15"/>
    <mergeCell ref="C16:D16"/>
    <mergeCell ref="E16"/>
    <mergeCell ref="F16"/>
    <mergeCell ref="G16"/>
    <mergeCell ref="H16"/>
    <mergeCell ref="C14:D15"/>
    <mergeCell ref="E15"/>
    <mergeCell ref="F15"/>
    <mergeCell ref="E14:F14"/>
    <mergeCell ref="G15"/>
    <mergeCell ref="F21"/>
    <mergeCell ref="G21"/>
    <mergeCell ref="H21"/>
    <mergeCell ref="C22:D22"/>
    <mergeCell ref="E22"/>
    <mergeCell ref="C17:D17"/>
    <mergeCell ref="C18:D18"/>
    <mergeCell ref="C19:D19"/>
    <mergeCell ref="C20:D20"/>
    <mergeCell ref="C21:D21"/>
    <mergeCell ref="C26:D26"/>
    <mergeCell ref="E26"/>
    <mergeCell ref="F26"/>
    <mergeCell ref="G26"/>
    <mergeCell ref="H26"/>
    <mergeCell ref="C23:D23"/>
    <mergeCell ref="E23"/>
    <mergeCell ref="C24:D24"/>
    <mergeCell ref="F24"/>
    <mergeCell ref="C25:D25"/>
    <mergeCell ref="F25"/>
    <mergeCell ref="C29:D29"/>
    <mergeCell ref="G29"/>
    <mergeCell ref="H29"/>
    <mergeCell ref="C30:D30"/>
    <mergeCell ref="G30"/>
    <mergeCell ref="H30"/>
    <mergeCell ref="C27:D27"/>
    <mergeCell ref="C28:D28"/>
    <mergeCell ref="F28"/>
    <mergeCell ref="G28"/>
    <mergeCell ref="H28"/>
    <mergeCell ref="C34:D34"/>
    <mergeCell ref="E34"/>
    <mergeCell ref="C35:D35"/>
    <mergeCell ref="E35"/>
    <mergeCell ref="C36:D36"/>
    <mergeCell ref="C31:D31"/>
    <mergeCell ref="F31"/>
    <mergeCell ref="C32:D32"/>
    <mergeCell ref="F32"/>
    <mergeCell ref="C33:D33"/>
    <mergeCell ref="E33"/>
    <mergeCell ref="C39:D39"/>
    <mergeCell ref="E39"/>
    <mergeCell ref="C40:D40"/>
    <mergeCell ref="E40"/>
    <mergeCell ref="C41:D41"/>
    <mergeCell ref="E41"/>
    <mergeCell ref="F36"/>
    <mergeCell ref="C37:D37"/>
    <mergeCell ref="E37"/>
    <mergeCell ref="F37"/>
    <mergeCell ref="C38:D38"/>
    <mergeCell ref="E38"/>
    <mergeCell ref="C44:D44"/>
    <mergeCell ref="E44"/>
    <mergeCell ref="F44"/>
    <mergeCell ref="G44"/>
    <mergeCell ref="H44"/>
    <mergeCell ref="F41"/>
    <mergeCell ref="G41"/>
    <mergeCell ref="H41"/>
    <mergeCell ref="C42:D42"/>
    <mergeCell ref="C43:D43"/>
    <mergeCell ref="H49"/>
    <mergeCell ref="F47"/>
    <mergeCell ref="G47"/>
    <mergeCell ref="H47"/>
    <mergeCell ref="C48:D48"/>
    <mergeCell ref="E48"/>
    <mergeCell ref="C45:D45"/>
    <mergeCell ref="E45"/>
    <mergeCell ref="C46:D46"/>
    <mergeCell ref="E46"/>
    <mergeCell ref="C47:D47"/>
    <mergeCell ref="E47"/>
    <mergeCell ref="C50:D50"/>
    <mergeCell ref="C51:D51"/>
    <mergeCell ref="E51"/>
    <mergeCell ref="F51"/>
    <mergeCell ref="G51"/>
    <mergeCell ref="C49:D49"/>
    <mergeCell ref="E49"/>
    <mergeCell ref="F49"/>
    <mergeCell ref="G49"/>
    <mergeCell ref="G55"/>
    <mergeCell ref="H55"/>
    <mergeCell ref="C53:D53"/>
    <mergeCell ref="F53"/>
    <mergeCell ref="G53"/>
    <mergeCell ref="H53"/>
    <mergeCell ref="C54:D54"/>
    <mergeCell ref="E54"/>
    <mergeCell ref="H51"/>
    <mergeCell ref="C52:D52"/>
    <mergeCell ref="F52"/>
    <mergeCell ref="G52"/>
    <mergeCell ref="H52"/>
    <mergeCell ref="C56:D56"/>
    <mergeCell ref="C57:D57"/>
    <mergeCell ref="C58:D58"/>
    <mergeCell ref="E58"/>
    <mergeCell ref="C59:D59"/>
    <mergeCell ref="E59"/>
    <mergeCell ref="C55:D55"/>
    <mergeCell ref="E55"/>
    <mergeCell ref="F55"/>
    <mergeCell ref="G61"/>
    <mergeCell ref="H61"/>
    <mergeCell ref="C62:D62"/>
    <mergeCell ref="C63:D63"/>
    <mergeCell ref="E63"/>
    <mergeCell ref="C60:D60"/>
    <mergeCell ref="F60"/>
    <mergeCell ref="C61:D61"/>
    <mergeCell ref="E61"/>
    <mergeCell ref="F61"/>
    <mergeCell ref="G66"/>
    <mergeCell ref="H66"/>
    <mergeCell ref="C64:D64"/>
    <mergeCell ref="E64"/>
    <mergeCell ref="C65:D65"/>
    <mergeCell ref="F65"/>
    <mergeCell ref="C66:D66"/>
    <mergeCell ref="E66"/>
    <mergeCell ref="F66"/>
  </mergeCells>
  <dataValidations count="81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62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397</v>
      </c>
      <c r="D9" s="46"/>
      <c r="E9" s="46"/>
      <c r="F9" s="46"/>
      <c r="G9" s="46"/>
      <c r="H9" s="2"/>
    </row>
    <row r="10" spans="2:8">
      <c r="B10" s="2"/>
      <c r="C10" s="46"/>
      <c r="D10" s="46"/>
      <c r="E10" s="46"/>
      <c r="F10" s="46"/>
      <c r="G10" s="46"/>
      <c r="H10" s="2"/>
    </row>
    <row r="11" spans="2:8">
      <c r="B11" s="2"/>
      <c r="C11" s="47" t="str">
        <f>CONCATENATE("Untuk Periode Yang Berakhir Pada ",TEXT(DATE(YEAR('Data Umum'!D11), MONTH('Data Umum'!D11)+1, 0),"DD")&amp;"-"&amp;CONCATENATE(TEXT('Data Umum'!D11, "MMM-YYYY")))</f>
        <v>Untuk Periode Yang Berakhir Pada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 t="s">
        <v>232</v>
      </c>
      <c r="D13" s="48"/>
      <c r="E13" s="48"/>
      <c r="F13" s="48"/>
      <c r="G13" s="48"/>
      <c r="H13" s="2"/>
    </row>
    <row r="14" spans="2:8">
      <c r="B14" s="2"/>
      <c r="C14" s="40" t="s">
        <v>246</v>
      </c>
      <c r="D14" s="38"/>
      <c r="E14" s="43" t="str">
        <f>"Dana Perusahaan"</f>
        <v>Dana Perusahaan</v>
      </c>
      <c r="F14" s="43" t="str">
        <f>"Dana Tabarru'"</f>
        <v>Dana Tabarru'</v>
      </c>
      <c r="G14" s="43" t="str">
        <f>"Gabungan"</f>
        <v>Gabungan</v>
      </c>
      <c r="H14" s="2"/>
    </row>
    <row r="15" spans="2:8">
      <c r="B15" s="2"/>
      <c r="C15" s="41"/>
      <c r="D15" s="42"/>
      <c r="E15" s="44"/>
      <c r="F15" s="44"/>
      <c r="G15" s="44"/>
      <c r="H15" s="2"/>
    </row>
    <row r="16" spans="2:8">
      <c r="B16" s="2"/>
      <c r="C16" s="37" t="s">
        <v>398</v>
      </c>
      <c r="D16" s="38"/>
      <c r="E16" s="51">
        <v>0</v>
      </c>
      <c r="F16" s="51">
        <v>0</v>
      </c>
      <c r="G16" s="18">
        <f>E16+F16</f>
        <v>0</v>
      </c>
      <c r="H16" s="2"/>
    </row>
    <row r="17" spans="2:8">
      <c r="B17" s="2"/>
      <c r="C17" s="37" t="s">
        <v>399</v>
      </c>
      <c r="D17" s="38"/>
      <c r="E17" s="18">
        <f>SUM(E18:E21)</f>
        <v>0</v>
      </c>
      <c r="F17" s="18">
        <f>SUM(F18:F21)</f>
        <v>0</v>
      </c>
      <c r="G17" s="18">
        <f>SUM(G18:G21)</f>
        <v>0</v>
      </c>
      <c r="H17" s="2"/>
    </row>
    <row r="18" spans="2:8">
      <c r="B18" s="2"/>
      <c r="C18" s="35" t="s">
        <v>400</v>
      </c>
      <c r="D18" s="36"/>
      <c r="E18" s="51">
        <v>0</v>
      </c>
      <c r="F18" s="18">
        <f>0</f>
        <v>0</v>
      </c>
      <c r="G18" s="18">
        <f>E18+F18</f>
        <v>0</v>
      </c>
      <c r="H18" s="2"/>
    </row>
    <row r="19" spans="2:8">
      <c r="B19" s="2"/>
      <c r="C19" s="35" t="s">
        <v>401</v>
      </c>
      <c r="D19" s="36"/>
      <c r="E19" s="51">
        <v>0</v>
      </c>
      <c r="F19" s="18">
        <f>0</f>
        <v>0</v>
      </c>
      <c r="G19" s="18">
        <f>E19+F19</f>
        <v>0</v>
      </c>
      <c r="H19" s="2"/>
    </row>
    <row r="20" spans="2:8">
      <c r="B20" s="2"/>
      <c r="C20" s="35" t="s">
        <v>402</v>
      </c>
      <c r="D20" s="36"/>
      <c r="E20" s="18">
        <f>0</f>
        <v>0</v>
      </c>
      <c r="F20" s="51">
        <v>0</v>
      </c>
      <c r="G20" s="18">
        <f>E20+F20</f>
        <v>0</v>
      </c>
      <c r="H20" s="2"/>
    </row>
    <row r="21" spans="2:8">
      <c r="B21" s="2"/>
      <c r="C21" s="35" t="s">
        <v>403</v>
      </c>
      <c r="D21" s="36"/>
      <c r="E21" s="51">
        <v>0</v>
      </c>
      <c r="F21" s="51">
        <v>0</v>
      </c>
      <c r="G21" s="18">
        <f>E21+F21</f>
        <v>0</v>
      </c>
      <c r="H21" s="2"/>
    </row>
    <row r="22" spans="2:8">
      <c r="B22" s="2"/>
      <c r="C22" s="37" t="s">
        <v>404</v>
      </c>
      <c r="D22" s="38"/>
      <c r="E22" s="18">
        <f>SUM(E23:E26)</f>
        <v>0</v>
      </c>
      <c r="F22" s="18">
        <f>SUM(F23:F26)</f>
        <v>0</v>
      </c>
      <c r="G22" s="18">
        <f>SUM(G23:G26)</f>
        <v>0</v>
      </c>
      <c r="H22" s="2"/>
    </row>
    <row r="23" spans="2:8">
      <c r="B23" s="2"/>
      <c r="C23" s="35" t="s">
        <v>405</v>
      </c>
      <c r="D23" s="36"/>
      <c r="E23" s="51">
        <v>0</v>
      </c>
      <c r="F23" s="18">
        <f>0</f>
        <v>0</v>
      </c>
      <c r="G23" s="18">
        <f>E23+F23</f>
        <v>0</v>
      </c>
      <c r="H23" s="2"/>
    </row>
    <row r="24" spans="2:8">
      <c r="B24" s="2"/>
      <c r="C24" s="35" t="s">
        <v>406</v>
      </c>
      <c r="D24" s="36"/>
      <c r="E24" s="51">
        <v>0</v>
      </c>
      <c r="F24" s="51">
        <v>0</v>
      </c>
      <c r="G24" s="18">
        <f>E24+F24</f>
        <v>0</v>
      </c>
      <c r="H24" s="2"/>
    </row>
    <row r="25" spans="2:8">
      <c r="B25" s="2"/>
      <c r="C25" s="35" t="s">
        <v>407</v>
      </c>
      <c r="D25" s="36"/>
      <c r="E25" s="51">
        <v>0</v>
      </c>
      <c r="F25" s="18">
        <f>0</f>
        <v>0</v>
      </c>
      <c r="G25" s="18">
        <f>E25+F25</f>
        <v>0</v>
      </c>
      <c r="H25" s="2"/>
    </row>
    <row r="26" spans="2:8">
      <c r="B26" s="2"/>
      <c r="C26" s="35" t="s">
        <v>408</v>
      </c>
      <c r="D26" s="36"/>
      <c r="E26" s="51">
        <v>0</v>
      </c>
      <c r="F26" s="51">
        <v>0</v>
      </c>
      <c r="G26" s="18">
        <f>E26+F26</f>
        <v>0</v>
      </c>
      <c r="H26" s="2"/>
    </row>
    <row r="27" spans="2:8">
      <c r="B27" s="2"/>
      <c r="C27" s="37" t="s">
        <v>409</v>
      </c>
      <c r="D27" s="38"/>
      <c r="E27" s="18">
        <f>E16+E17-E22</f>
        <v>0</v>
      </c>
      <c r="F27" s="18">
        <f>F16+F17-F22</f>
        <v>0</v>
      </c>
      <c r="G27" s="18">
        <f>G16+G17-G22</f>
        <v>0</v>
      </c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 ht="5.0999999999999996" customHeight="1">
      <c r="B29" s="2"/>
      <c r="C29" s="2"/>
      <c r="D29" s="2"/>
      <c r="E29" s="2"/>
      <c r="F29" s="2"/>
      <c r="G29" s="2"/>
      <c r="H29" s="2"/>
    </row>
  </sheetData>
  <sheetProtection sheet="1" formatColumns="0" formatRows="0" selectLockedCells="1"/>
  <mergeCells count="34">
    <mergeCell ref="C7:G7"/>
    <mergeCell ref="C9:G9"/>
    <mergeCell ref="C10:G10"/>
    <mergeCell ref="C11:G11"/>
    <mergeCell ref="C13:G13"/>
    <mergeCell ref="C14:D15"/>
    <mergeCell ref="E14:E15"/>
    <mergeCell ref="F14:F15"/>
    <mergeCell ref="G14:G15"/>
    <mergeCell ref="C16:D16"/>
    <mergeCell ref="E16"/>
    <mergeCell ref="F16"/>
    <mergeCell ref="C17:D17"/>
    <mergeCell ref="C18:D18"/>
    <mergeCell ref="E18"/>
    <mergeCell ref="C19:D19"/>
    <mergeCell ref="E19"/>
    <mergeCell ref="C20:D20"/>
    <mergeCell ref="F20"/>
    <mergeCell ref="C21:D21"/>
    <mergeCell ref="E21"/>
    <mergeCell ref="F21"/>
    <mergeCell ref="C22:D22"/>
    <mergeCell ref="C23:D23"/>
    <mergeCell ref="E23"/>
    <mergeCell ref="C24:D24"/>
    <mergeCell ref="E24"/>
    <mergeCell ref="C27:D27"/>
    <mergeCell ref="F24"/>
    <mergeCell ref="C25:D25"/>
    <mergeCell ref="E25"/>
    <mergeCell ref="C26:D26"/>
    <mergeCell ref="E26"/>
    <mergeCell ref="F26"/>
  </mergeCells>
  <dataValidations count="13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46" t="s">
        <v>410</v>
      </c>
      <c r="D9" s="46"/>
      <c r="E9" s="46"/>
      <c r="F9" s="46"/>
      <c r="G9" s="46"/>
      <c r="H9" s="46"/>
      <c r="I9" s="46"/>
      <c r="J9" s="46"/>
      <c r="K9" s="46"/>
      <c r="L9" s="2"/>
    </row>
    <row r="10" spans="2:12">
      <c r="B10" s="2"/>
      <c r="C10" s="46" t="s">
        <v>411</v>
      </c>
      <c r="D10" s="46"/>
      <c r="E10" s="46"/>
      <c r="F10" s="46"/>
      <c r="G10" s="46"/>
      <c r="H10" s="46"/>
      <c r="I10" s="46"/>
      <c r="J10" s="46"/>
      <c r="K10" s="46"/>
      <c r="L10" s="2"/>
    </row>
    <row r="11" spans="2:12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2"/>
    </row>
    <row r="14" spans="2:12">
      <c r="B14" s="2"/>
      <c r="C14" s="40" t="s">
        <v>236</v>
      </c>
      <c r="D14" s="38"/>
      <c r="E14" s="43" t="str">
        <f>"Saldo Buku Besar (SAK)"</f>
        <v>Saldo Buku Besar (SAK)</v>
      </c>
      <c r="F14" s="43" t="str">
        <f>"Penilaian Berdasarkan SAP"</f>
        <v>Penilaian Berdasarkan SAP</v>
      </c>
      <c r="G14" s="43" t="str">
        <f>"Selisih Berdasarkan Penilaian Berdasarkan SAK dan SAP"</f>
        <v>Selisih Berdasarkan Penilaian Berdasarkan SAK dan SAP</v>
      </c>
      <c r="H14" s="43" t="str">
        <f>"AYD Setelah Batasan Per Perusahaan"</f>
        <v>AYD Setelah Batasan Per Perusahaan</v>
      </c>
      <c r="I14" s="43" t="str">
        <f>"AYD Setelah Batasan Per Jenis Aset"</f>
        <v>AYD Setelah Batasan Per Jenis Aset</v>
      </c>
      <c r="J14" s="43" t="str">
        <f>"AYD Setelah Batasan Afiliasi"</f>
        <v>AYD Setelah Batasan Afiliasi</v>
      </c>
      <c r="K14" s="43" t="str">
        <f>"AYD Setelah Batasan Luar Negeri (Saldo SAP)"</f>
        <v>AYD Setelah Batasan Luar Negeri (Saldo SAP)</v>
      </c>
      <c r="L14" s="2"/>
    </row>
    <row r="15" spans="2:12">
      <c r="B15" s="2"/>
      <c r="C15" s="41"/>
      <c r="D15" s="42"/>
      <c r="E15" s="44"/>
      <c r="F15" s="44"/>
      <c r="G15" s="44"/>
      <c r="H15" s="44"/>
      <c r="I15" s="44"/>
      <c r="J15" s="44"/>
      <c r="K15" s="44"/>
      <c r="L15" s="2"/>
    </row>
    <row r="16" spans="2:12">
      <c r="B16" s="2"/>
      <c r="C16" s="37" t="s">
        <v>412</v>
      </c>
      <c r="D16" s="38"/>
      <c r="E16" s="18">
        <f>0</f>
        <v>0</v>
      </c>
      <c r="F16" s="18">
        <f>0</f>
        <v>0</v>
      </c>
      <c r="G16" s="18">
        <f>0</f>
        <v>0</v>
      </c>
      <c r="H16" s="18">
        <f>0</f>
        <v>0</v>
      </c>
      <c r="I16" s="18">
        <f>0</f>
        <v>0</v>
      </c>
      <c r="J16" s="18">
        <f>0</f>
        <v>0</v>
      </c>
      <c r="K16" s="18">
        <f>0</f>
        <v>0</v>
      </c>
      <c r="L16" s="2"/>
    </row>
    <row r="17" spans="2:12">
      <c r="B17" s="2"/>
      <c r="C17" s="35" t="s">
        <v>413</v>
      </c>
      <c r="D17" s="36"/>
      <c r="E17" s="18">
        <f>SUMIFS('RA110-R'!AB:AB,'RA110-R'!M:M,"2002",'RA110-R'!K:K,"1801")</f>
        <v>0</v>
      </c>
      <c r="F17" s="18">
        <f>SUMIFS('RA110-R'!AC:AC,'RA110-R'!M:M,"2002",'RA110-R'!K:K,"1801")</f>
        <v>0</v>
      </c>
      <c r="G17" s="18">
        <f t="shared" ref="G17:G37" si="0">E17-F17</f>
        <v>0</v>
      </c>
      <c r="H17" s="51">
        <v>0</v>
      </c>
      <c r="I17" s="51">
        <v>0</v>
      </c>
      <c r="J17" s="51">
        <v>0</v>
      </c>
      <c r="K17" s="51">
        <v>0</v>
      </c>
      <c r="L17" s="2"/>
    </row>
    <row r="18" spans="2:12">
      <c r="B18" s="2"/>
      <c r="C18" s="35" t="s">
        <v>250</v>
      </c>
      <c r="D18" s="36"/>
      <c r="E18" s="18">
        <f>SUMIFS('RA110-R'!AB:AB,'RA110-R'!M:M,"2011",'RA110-R'!K:K,"1801")</f>
        <v>0</v>
      </c>
      <c r="F18" s="18">
        <f>SUMIFS('RA110-R'!AC:AC,'RA110-R'!M:M,"2011",'RA110-R'!K:K,"1801")</f>
        <v>0</v>
      </c>
      <c r="G18" s="18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2"/>
    </row>
    <row r="19" spans="2:12">
      <c r="B19" s="2"/>
      <c r="C19" s="35" t="s">
        <v>251</v>
      </c>
      <c r="D19" s="36"/>
      <c r="E19" s="18">
        <f>SUMIFS('RA110-R'!AB:AB,'RA110-R'!M:M,"2031",'RA110-R'!K:K,"1801")</f>
        <v>0</v>
      </c>
      <c r="F19" s="18">
        <f>SUMIFS('RA110-R'!AC:AC,'RA110-R'!M:M,"2031",'RA110-R'!K:K,"1801")</f>
        <v>0</v>
      </c>
      <c r="G19" s="18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2"/>
    </row>
    <row r="20" spans="2:12">
      <c r="B20" s="2"/>
      <c r="C20" s="35" t="s">
        <v>252</v>
      </c>
      <c r="D20" s="36"/>
      <c r="E20" s="18">
        <f>SUMIFS('RA110-R'!AB:AB,'RA110-R'!M:M,"2024",'RA110-R'!K:K,"1801")</f>
        <v>0</v>
      </c>
      <c r="F20" s="18">
        <f>SUMIFS('RA110-R'!AC:AC,'RA110-R'!M:M,"2024",'RA110-R'!K:K,"1801")</f>
        <v>0</v>
      </c>
      <c r="G20" s="18">
        <f t="shared" si="0"/>
        <v>0</v>
      </c>
      <c r="H20" s="51">
        <v>0</v>
      </c>
      <c r="I20" s="51">
        <v>0</v>
      </c>
      <c r="J20" s="51">
        <v>0</v>
      </c>
      <c r="K20" s="51">
        <v>0</v>
      </c>
      <c r="L20" s="2"/>
    </row>
    <row r="21" spans="2:12">
      <c r="B21" s="2"/>
      <c r="C21" s="35" t="s">
        <v>253</v>
      </c>
      <c r="D21" s="36"/>
      <c r="E21" s="18">
        <f>SUMIFS('RA110-R'!AB:AB,'RA110-R'!M:M,"2027",'RA110-R'!K:K,"1801")</f>
        <v>0</v>
      </c>
      <c r="F21" s="18">
        <f>SUMIFS('RA110-R'!AC:AC,'RA110-R'!M:M,"2027",'RA110-R'!K:K,"1801")</f>
        <v>0</v>
      </c>
      <c r="G21" s="18">
        <f t="shared" si="0"/>
        <v>0</v>
      </c>
      <c r="H21" s="51">
        <v>0</v>
      </c>
      <c r="I21" s="51">
        <v>0</v>
      </c>
      <c r="J21" s="51">
        <v>0</v>
      </c>
      <c r="K21" s="51">
        <v>0</v>
      </c>
      <c r="L21" s="2"/>
    </row>
    <row r="22" spans="2:12">
      <c r="B22" s="2"/>
      <c r="C22" s="35" t="s">
        <v>414</v>
      </c>
      <c r="D22" s="36"/>
      <c r="E22" s="18">
        <f>SUMIFS('RA110-R'!AB:AB,'RA110-R'!M:M,"2023",'RA110-R'!K:K,"1801")</f>
        <v>0</v>
      </c>
      <c r="F22" s="18">
        <f>SUMIFS('RA110-R'!AC:AC,'RA110-R'!M:M,"2023",'RA110-R'!K:K,"1801")</f>
        <v>0</v>
      </c>
      <c r="G22" s="18">
        <f t="shared" si="0"/>
        <v>0</v>
      </c>
      <c r="H22" s="51">
        <v>0</v>
      </c>
      <c r="I22" s="51">
        <v>0</v>
      </c>
      <c r="J22" s="51">
        <v>0</v>
      </c>
      <c r="K22" s="51">
        <v>0</v>
      </c>
      <c r="L22" s="2"/>
    </row>
    <row r="23" spans="2:12">
      <c r="B23" s="2"/>
      <c r="C23" s="35" t="s">
        <v>415</v>
      </c>
      <c r="D23" s="36"/>
      <c r="E23" s="18">
        <f>SUMIFS('RA110-R'!AB:AB,'RA110-R'!M:M,"2012",'RA110-R'!K:K,"1801")</f>
        <v>0</v>
      </c>
      <c r="F23" s="18">
        <f>SUMIFS('RA110-R'!AC:AC,'RA110-R'!M:M,"2012",'RA110-R'!K:K,"1801")</f>
        <v>0</v>
      </c>
      <c r="G23" s="18">
        <f t="shared" si="0"/>
        <v>0</v>
      </c>
      <c r="H23" s="51">
        <v>0</v>
      </c>
      <c r="I23" s="51">
        <v>0</v>
      </c>
      <c r="J23" s="51">
        <v>0</v>
      </c>
      <c r="K23" s="51">
        <v>0</v>
      </c>
      <c r="L23" s="2"/>
    </row>
    <row r="24" spans="2:12">
      <c r="B24" s="2"/>
      <c r="C24" s="35" t="s">
        <v>416</v>
      </c>
      <c r="D24" s="36"/>
      <c r="E24" s="18">
        <f>SUMIFS('RA110-R'!AB:AB,'RA110-R'!M:M,"2026",'RA110-R'!K:K,"1801")</f>
        <v>0</v>
      </c>
      <c r="F24" s="18">
        <f>SUMIFS('RA110-R'!AC:AC,'RA110-R'!M:M,"2026",'RA110-R'!K:K,"1801")</f>
        <v>0</v>
      </c>
      <c r="G24" s="18">
        <f t="shared" si="0"/>
        <v>0</v>
      </c>
      <c r="H24" s="51">
        <v>0</v>
      </c>
      <c r="I24" s="51">
        <v>0</v>
      </c>
      <c r="J24" s="51">
        <v>0</v>
      </c>
      <c r="K24" s="51">
        <v>0</v>
      </c>
      <c r="L24" s="2"/>
    </row>
    <row r="25" spans="2:12">
      <c r="B25" s="2"/>
      <c r="C25" s="35" t="s">
        <v>417</v>
      </c>
      <c r="D25" s="36"/>
      <c r="E25" s="18">
        <f>SUMIFS('RA110-R'!AB:AB,'RA110-R'!M:M,"2025",'RA110-R'!K:K,"1801")</f>
        <v>0</v>
      </c>
      <c r="F25" s="18">
        <f>SUMIFS('RA110-R'!AC:AC,'RA110-R'!M:M,"2025",'RA110-R'!K:K,"1801")</f>
        <v>0</v>
      </c>
      <c r="G25" s="18">
        <f t="shared" si="0"/>
        <v>0</v>
      </c>
      <c r="H25" s="51">
        <v>0</v>
      </c>
      <c r="I25" s="51">
        <v>0</v>
      </c>
      <c r="J25" s="51">
        <v>0</v>
      </c>
      <c r="K25" s="51">
        <v>0</v>
      </c>
      <c r="L25" s="2"/>
    </row>
    <row r="26" spans="2:12">
      <c r="B26" s="2"/>
      <c r="C26" s="35" t="s">
        <v>258</v>
      </c>
      <c r="D26" s="36"/>
      <c r="E26" s="18">
        <f>SUM(SUMIFS('RA110-R'!AB:AB,'RA110-R'!K:K,"1801",'RA110-R'!M:M,"2043"),SUMIFS('RA110-R'!AB:AB,'RA110-R'!K:K,"1801",'RA110-R'!M:M,"2044"),SUMIFS('RA110-R'!AB:AB,'RA110-R'!K:K,"1801",'RA110-R'!M:M,"2045"),SUMIFS('RA110-R'!AB:AB,'RA110-R'!K:K,"1801",'RA110-R'!M:M,"2046"))</f>
        <v>0</v>
      </c>
      <c r="F26" s="18">
        <f>SUMIFS('RA110-R'!AC:AC,'RA110-R'!M:M, "2043",'RA110-R'!K:K,"1801")+ SUMIFS('RA110-R'!AC:AC,'RA110-R'!M:M, "2044",'RA110-R'!K:K,"1801")+ SUMIFS('RA110-R'!AC:AC,'RA110-R'!M:M, "2045",'RA110-R'!K:K,"1801")+ SUMIFS('RA110-R'!AC:AC,'RA110-R'!M:M, "2046",'RA110-R'!K:K,"1801")</f>
        <v>0</v>
      </c>
      <c r="G26" s="18">
        <f t="shared" si="0"/>
        <v>0</v>
      </c>
      <c r="H26" s="51">
        <v>0</v>
      </c>
      <c r="I26" s="51">
        <v>0</v>
      </c>
      <c r="J26" s="51">
        <v>0</v>
      </c>
      <c r="K26" s="51">
        <v>0</v>
      </c>
      <c r="L26" s="2"/>
    </row>
    <row r="27" spans="2:12">
      <c r="B27" s="2"/>
      <c r="C27" s="35" t="s">
        <v>259</v>
      </c>
      <c r="D27" s="36"/>
      <c r="E27" s="18">
        <f>SUMIFS('RA110-R'!AB:AB,'RA110-R'!M:M,"2048",'RA110-R'!K:K,"1801")</f>
        <v>0</v>
      </c>
      <c r="F27" s="18">
        <f>SUMIFS('RA110-R'!AC:AC,'RA110-R'!M:M,"2048",'RA110-R'!K:K,"1801")</f>
        <v>0</v>
      </c>
      <c r="G27" s="18">
        <f t="shared" si="0"/>
        <v>0</v>
      </c>
      <c r="H27" s="51">
        <v>0</v>
      </c>
      <c r="I27" s="51">
        <v>0</v>
      </c>
      <c r="J27" s="51">
        <v>0</v>
      </c>
      <c r="K27" s="51">
        <v>0</v>
      </c>
      <c r="L27" s="2"/>
    </row>
    <row r="28" spans="2:12">
      <c r="B28" s="2"/>
      <c r="C28" s="35" t="s">
        <v>418</v>
      </c>
      <c r="D28" s="36"/>
      <c r="E28" s="18">
        <f>SUMIFS('RA110-R'!AB:AB,'RA110-R'!M:M,"2049",'RA110-R'!K:K,"1801")</f>
        <v>0</v>
      </c>
      <c r="F28" s="18">
        <f>SUMIFS('RA110-R'!AC:AC,'RA110-R'!M:M,"2049",'RA110-R'!K:K,"1801")</f>
        <v>0</v>
      </c>
      <c r="G28" s="18">
        <f t="shared" si="0"/>
        <v>0</v>
      </c>
      <c r="H28" s="51">
        <v>0</v>
      </c>
      <c r="I28" s="51">
        <v>0</v>
      </c>
      <c r="J28" s="51">
        <v>0</v>
      </c>
      <c r="K28" s="51">
        <v>0</v>
      </c>
      <c r="L28" s="2"/>
    </row>
    <row r="29" spans="2:12">
      <c r="B29" s="2"/>
      <c r="C29" s="35" t="s">
        <v>261</v>
      </c>
      <c r="D29" s="36"/>
      <c r="E29" s="18">
        <f>SUMIFS('RA110-R'!AB:AB,'RA110-R'!M:M,"2061",'RA110-R'!K:K,"1801")</f>
        <v>0</v>
      </c>
      <c r="F29" s="18">
        <f>SUMIFS('RA110-R'!AC:AC,'RA110-R'!M:M,"2061",'RA110-R'!K:K,"1801")</f>
        <v>0</v>
      </c>
      <c r="G29" s="18">
        <f t="shared" si="0"/>
        <v>0</v>
      </c>
      <c r="H29" s="51">
        <v>0</v>
      </c>
      <c r="I29" s="51">
        <v>0</v>
      </c>
      <c r="J29" s="51">
        <v>0</v>
      </c>
      <c r="K29" s="51">
        <v>0</v>
      </c>
      <c r="L29" s="2"/>
    </row>
    <row r="30" spans="2:12">
      <c r="B30" s="2"/>
      <c r="C30" s="35" t="s">
        <v>419</v>
      </c>
      <c r="D30" s="36"/>
      <c r="E30" s="18">
        <f>SUMIFS('RA110-R'!AB:AB,'RA110-R'!M:M,"2062",'RA110-R'!K:K,"1801")</f>
        <v>0</v>
      </c>
      <c r="F30" s="18">
        <f>SUMIFS('RA110-R'!AC:AC,'RA110-R'!M:M,"2062",'RA110-R'!K:K,"1801")</f>
        <v>0</v>
      </c>
      <c r="G30" s="18">
        <f t="shared" si="0"/>
        <v>0</v>
      </c>
      <c r="H30" s="51">
        <v>0</v>
      </c>
      <c r="I30" s="51">
        <v>0</v>
      </c>
      <c r="J30" s="51">
        <v>0</v>
      </c>
      <c r="K30" s="51">
        <v>0</v>
      </c>
      <c r="L30" s="2"/>
    </row>
    <row r="31" spans="2:12">
      <c r="B31" s="2"/>
      <c r="C31" s="35" t="s">
        <v>263</v>
      </c>
      <c r="D31" s="36"/>
      <c r="E31" s="18">
        <f>SUMIFS('RA110-R'!AB:AB,'RA110-R'!M:M,"2060",'RA110-R'!K:K,"1801")</f>
        <v>0</v>
      </c>
      <c r="F31" s="18">
        <f>SUMIFS('RA110-R'!AC:AC,'RA110-R'!M:M,"2060",'RA110-R'!K:K,"1801")</f>
        <v>0</v>
      </c>
      <c r="G31" s="18">
        <f t="shared" si="0"/>
        <v>0</v>
      </c>
      <c r="H31" s="51">
        <v>0</v>
      </c>
      <c r="I31" s="51">
        <v>0</v>
      </c>
      <c r="J31" s="51">
        <v>0</v>
      </c>
      <c r="K31" s="51">
        <v>0</v>
      </c>
      <c r="L31" s="2"/>
    </row>
    <row r="32" spans="2:12">
      <c r="B32" s="2"/>
      <c r="C32" s="35" t="s">
        <v>264</v>
      </c>
      <c r="D32" s="36"/>
      <c r="E32" s="18">
        <f>SUMIFS('RA110-R'!AB:AB,'RA110-R'!M:M,"2063",'RA110-R'!K:K,"1801")</f>
        <v>0</v>
      </c>
      <c r="F32" s="18">
        <f>SUMIFS('RA110-R'!AC:AC,'RA110-R'!M:M,"2063",'RA110-R'!K:K,"1801")</f>
        <v>0</v>
      </c>
      <c r="G32" s="18">
        <f t="shared" si="0"/>
        <v>0</v>
      </c>
      <c r="H32" s="51">
        <v>0</v>
      </c>
      <c r="I32" s="51">
        <v>0</v>
      </c>
      <c r="J32" s="51">
        <v>0</v>
      </c>
      <c r="K32" s="51">
        <v>0</v>
      </c>
      <c r="L32" s="2"/>
    </row>
    <row r="33" spans="2:12">
      <c r="B33" s="2"/>
      <c r="C33" s="35" t="s">
        <v>265</v>
      </c>
      <c r="D33" s="36"/>
      <c r="E33" s="18">
        <f>SUMIFS('RA110-R'!AB:AB,'RA110-R'!M:M,"2064",'RA110-R'!K:K,"1801")</f>
        <v>0</v>
      </c>
      <c r="F33" s="18">
        <f>SUMIFS('RA110-R'!AC:AC,'RA110-R'!M:M,"2064",'RA110-R'!K:K,"1801")</f>
        <v>0</v>
      </c>
      <c r="G33" s="18">
        <f t="shared" si="0"/>
        <v>0</v>
      </c>
      <c r="H33" s="51">
        <v>0</v>
      </c>
      <c r="I33" s="51">
        <v>0</v>
      </c>
      <c r="J33" s="51">
        <v>0</v>
      </c>
      <c r="K33" s="51">
        <v>0</v>
      </c>
      <c r="L33" s="2"/>
    </row>
    <row r="34" spans="2:12">
      <c r="B34" s="2"/>
      <c r="C34" s="35" t="s">
        <v>420</v>
      </c>
      <c r="D34" s="36"/>
      <c r="E34" s="18">
        <f>SUMIFS('RA110-R'!AB:AB,'RA110-R'!M:M,"2001",'RA110-R'!K:K,"1801")</f>
        <v>0</v>
      </c>
      <c r="F34" s="18">
        <f>SUMIFS('RA110-R'!AC:AC,'RA110-R'!M:M,"2001",'RA110-R'!K:K,"1801")</f>
        <v>0</v>
      </c>
      <c r="G34" s="18">
        <f t="shared" si="0"/>
        <v>0</v>
      </c>
      <c r="H34" s="51">
        <v>0</v>
      </c>
      <c r="I34" s="51">
        <v>0</v>
      </c>
      <c r="J34" s="51">
        <v>0</v>
      </c>
      <c r="K34" s="51">
        <v>0</v>
      </c>
      <c r="L34" s="2"/>
    </row>
    <row r="35" spans="2:12">
      <c r="B35" s="2"/>
      <c r="C35" s="35" t="s">
        <v>267</v>
      </c>
      <c r="D35" s="36"/>
      <c r="E35" s="18">
        <f>SUMIFS('RA110-R'!AB:AB,'RA110-R'!M:M,"2028",'RA110-R'!K:K,"1801")</f>
        <v>0</v>
      </c>
      <c r="F35" s="18">
        <f>SUMIFS('RA110-R'!AC:AC,'RA110-R'!M:M,"2028",'RA110-R'!K:K,"1801")</f>
        <v>0</v>
      </c>
      <c r="G35" s="18">
        <f t="shared" si="0"/>
        <v>0</v>
      </c>
      <c r="H35" s="51">
        <v>0</v>
      </c>
      <c r="I35" s="51">
        <v>0</v>
      </c>
      <c r="J35" s="51">
        <v>0</v>
      </c>
      <c r="K35" s="51">
        <v>0</v>
      </c>
      <c r="L35" s="2"/>
    </row>
    <row r="36" spans="2:12">
      <c r="B36" s="2"/>
      <c r="C36" s="35" t="s">
        <v>421</v>
      </c>
      <c r="D36" s="36"/>
      <c r="E36" s="18">
        <f>SUMIFS('RA110-R'!AB:AB,'RA110-R'!M:M,"2052",'RA110-R'!K:K,"1801")</f>
        <v>0</v>
      </c>
      <c r="F36" s="18">
        <f>SUMIFS('RA110-R'!AC:AC,'RA110-R'!M:M,"2052",'RA110-R'!K:K,"1801")</f>
        <v>0</v>
      </c>
      <c r="G36" s="18">
        <f t="shared" si="0"/>
        <v>0</v>
      </c>
      <c r="H36" s="51">
        <v>0</v>
      </c>
      <c r="I36" s="51">
        <v>0</v>
      </c>
      <c r="J36" s="51">
        <v>0</v>
      </c>
      <c r="K36" s="51">
        <v>0</v>
      </c>
      <c r="L36" s="2"/>
    </row>
    <row r="37" spans="2:12">
      <c r="B37" s="2"/>
      <c r="C37" s="35" t="s">
        <v>422</v>
      </c>
      <c r="D37" s="36"/>
      <c r="E37" s="18">
        <f>SUMIFS('RA110-R'!AB:AB,'RA110-R'!M:M, "2013",'RA110-R'!K:K,"1801")+ SUMIFS('RA110-R'!AB:AB,'RA110-R'!M:M, "2014",'RA110-R'!K:K,"1801")+ SUMIFS('RA110-R'!AB:AB,'RA110-R'!M:M, "2015",'RA110-R'!K:K,"1801")+ SUMIFS('RA110-R'!AB:AB,'RA110-R'!M:M, "2016",'RA110-R'!K:K,"1801")+ SUMIFS('RA110-R'!AB:AB,'RA110-R'!M:M, "2021",'RA110-R'!K:K,"1801")+ SUMIFS('RA110-R'!AB:AB,'RA110-R'!M:M, "2022",'RA110-R'!K:K,"1801")+ SUMIFS('RA110-R'!AB:AB,'RA110-R'!M:M, "2041",'RA110-R'!K:K,"1801")+ SUMIFS('RA110-R'!AB:AB,'RA110-R'!M:M, "2042",'RA110-R'!K:K,"1801")+ SUMIFS('RA110-R'!AB:AB,'RA110-R'!M:M, "2047",'RA110-R'!K:K,"1801")+ SUMIFS('RA110-R'!AB:AB,'RA110-R'!M:M, "2050",'RA110-R'!K:K,"1801")+ SUMIFS('RA110-R'!AB:AB,'RA110-R'!M:M, "2051",'RA110-R'!K:K,"1801")+ SUMIFS('RA110-R'!AB:AB,'RA110-R'!M:M, "2065",'RA110-R'!K:K,"1801")</f>
        <v>0</v>
      </c>
      <c r="F37" s="18">
        <f>0</f>
        <v>0</v>
      </c>
      <c r="G37" s="18">
        <f t="shared" si="0"/>
        <v>0</v>
      </c>
      <c r="H37" s="51">
        <v>0</v>
      </c>
      <c r="I37" s="51">
        <v>0</v>
      </c>
      <c r="J37" s="51">
        <v>0</v>
      </c>
      <c r="K37" s="18">
        <f>0</f>
        <v>0</v>
      </c>
      <c r="L37" s="2"/>
    </row>
    <row r="38" spans="2:12">
      <c r="B38" s="2"/>
      <c r="C38" s="37" t="s">
        <v>423</v>
      </c>
      <c r="D38" s="38"/>
      <c r="E38" s="18">
        <f t="shared" ref="E38:K38" si="1">SUM(E17:E37)</f>
        <v>0</v>
      </c>
      <c r="F38" s="18">
        <f t="shared" si="1"/>
        <v>0</v>
      </c>
      <c r="G38" s="18">
        <f t="shared" si="1"/>
        <v>0</v>
      </c>
      <c r="H38" s="18">
        <f t="shared" si="1"/>
        <v>0</v>
      </c>
      <c r="I38" s="18">
        <f t="shared" si="1"/>
        <v>0</v>
      </c>
      <c r="J38" s="18">
        <f t="shared" si="1"/>
        <v>0</v>
      </c>
      <c r="K38" s="18">
        <f t="shared" si="1"/>
        <v>0</v>
      </c>
      <c r="L38" s="2"/>
    </row>
    <row r="39" spans="2:12">
      <c r="B39" s="2"/>
      <c r="C39" s="37" t="s">
        <v>424</v>
      </c>
      <c r="D39" s="38"/>
      <c r="E39" s="18">
        <f>0</f>
        <v>0</v>
      </c>
      <c r="F39" s="18">
        <f>0</f>
        <v>0</v>
      </c>
      <c r="G39" s="18">
        <f>0</f>
        <v>0</v>
      </c>
      <c r="H39" s="18">
        <f>0</f>
        <v>0</v>
      </c>
      <c r="I39" s="18">
        <f>0</f>
        <v>0</v>
      </c>
      <c r="J39" s="18">
        <f>0</f>
        <v>0</v>
      </c>
      <c r="K39" s="18">
        <f>0</f>
        <v>0</v>
      </c>
      <c r="L39" s="2"/>
    </row>
    <row r="40" spans="2:12">
      <c r="B40" s="2"/>
      <c r="C40" s="35" t="s">
        <v>271</v>
      </c>
      <c r="D40" s="36"/>
      <c r="E40" s="18">
        <f>+'LAK-R'!E18</f>
        <v>0</v>
      </c>
      <c r="F40" s="18">
        <f>+'LAK-R'!E18</f>
        <v>0</v>
      </c>
      <c r="G40" s="18">
        <f t="shared" ref="G40:G47" si="2">E40-F40</f>
        <v>0</v>
      </c>
      <c r="H40" s="51">
        <v>0</v>
      </c>
      <c r="I40" s="51">
        <v>0</v>
      </c>
      <c r="J40" s="51">
        <v>0</v>
      </c>
      <c r="K40" s="51">
        <v>0</v>
      </c>
      <c r="L40" s="2"/>
    </row>
    <row r="41" spans="2:12">
      <c r="B41" s="2"/>
      <c r="C41" s="35" t="s">
        <v>425</v>
      </c>
      <c r="D41" s="36"/>
      <c r="E41" s="18">
        <f>SUMIFS('RA120-R'!L:L,'RA120-R'!G:G,"2656",'RA120-R'!H:H,"1801")</f>
        <v>0</v>
      </c>
      <c r="F41" s="18">
        <f>SUMIFS('RA120-R'!M:M,'RA120-R'!G:G,"2656",'RA120-R'!H:H,"1801")</f>
        <v>0</v>
      </c>
      <c r="G41" s="18">
        <f t="shared" si="2"/>
        <v>0</v>
      </c>
      <c r="H41" s="51">
        <v>0</v>
      </c>
      <c r="I41" s="51">
        <v>0</v>
      </c>
      <c r="J41" s="51">
        <v>0</v>
      </c>
      <c r="K41" s="51">
        <v>0</v>
      </c>
      <c r="L41" s="2"/>
    </row>
    <row r="42" spans="2:12">
      <c r="B42" s="2"/>
      <c r="C42" s="35" t="s">
        <v>426</v>
      </c>
      <c r="D42" s="36"/>
      <c r="E42" s="18">
        <f>SUMIFS('RA120-R'!L:L,'RA120-R'!G:G, "2639",'RA120-R'!H:H,"1801")+ SUMIFS('RA120-R'!L:L,'RA120-R'!G:G, "2640",'RA120-R'!H:H,"1801")+ SUMIFS('RA120-R'!L:L,'RA120-R'!G:G, "2641",'RA120-R'!H:H,"1801")+ SUMIFS('RA120-R'!L:L,'RA120-R'!G:G, "2642",'RA120-R'!H:H,"1801")+ SUMIFS('RA120-R'!L:L,'RA120-R'!G:G, "2643",'RA120-R'!H:H,"1801")+ SUMIFS('RA120-R'!L:L,'RA120-R'!G:G, "2644",'RA120-R'!H:H,"1801")+ SUMIFS('RA120-R'!L:L,'RA120-R'!G:G, "2645",'RA120-R'!H:H,"1801")+ SUMIFS('RA120-R'!L:L,'RA120-R'!G:G, "2646",'RA120-R'!H:H,"1801")+ SUMIFS('RA120-R'!L:L,'RA120-R'!G:G, "2647",'RA120-R'!H:H,"1801")+ SUMIFS('RA120-R'!L:L,'RA120-R'!G:G, "2648",'RA120-R'!H:H,"1801")+ SUMIFS('RA120-R'!L:L,'RA120-R'!G:G, "2649",'RA120-R'!H:H,"1801")+ SUMIFS('RA120-R'!L:L,'RA120-R'!G:G, "2650",'RA120-R'!H:H,"1801")+ SUMIFS('RA120-R'!L:L,'RA120-R'!G:G, "2651",'RA120-R'!H:H,"1801")+ SUMIFS('RA120-R'!L:L,'RA120-R'!G:G, "2652",'RA120-R'!H:H,"1801")+ SUMIFS('RA120-R'!L:L,'RA120-R'!G:G, "2653",'RA120-R'!H:H,"1801")+ SUMIFS('RA120-R'!L:L,'RA120-R'!G:G, "2654",'RA120-R'!H:H,"1801")</f>
        <v>0</v>
      </c>
      <c r="F42" s="18">
        <f>SUMIFS('RA120-R'!M:M,'RA120-R'!G:G, "2639",'RA120-R'!H:H,"1801")+ SUMIFS('RA120-R'!M:M,'RA120-R'!G:G, "2640",'RA120-R'!H:H,"1801")+ SUMIFS('RA120-R'!M:M,'RA120-R'!G:G, "2641",'RA120-R'!H:H,"1801")+ SUMIFS('RA120-R'!M:M,'RA120-R'!G:G, "2642",'RA120-R'!H:H,"1801")+ SUMIFS('RA120-R'!M:M,'RA120-R'!G:G, "2643",'RA120-R'!H:H,"1801")+ SUMIFS('RA120-R'!M:M,'RA120-R'!G:G, "2644",'RA120-R'!H:H,"1801")+ SUMIFS('RA120-R'!M:M,'RA120-R'!G:G, "2645",'RA120-R'!H:H,"1801")+ SUMIFS('RA120-R'!M:M,'RA120-R'!G:G, "2646",'RA120-R'!H:H,"1801")+ SUMIFS('RA120-R'!M:M,'RA120-R'!G:G, "2647",'RA120-R'!H:H,"1801")+ SUMIFS('RA120-R'!M:M,'RA120-R'!G:G, "2648",'RA120-R'!H:H,"1801")+ SUMIFS('RA120-R'!M:M,'RA120-R'!G:G, "2649",'RA120-R'!H:H,"1801")+ SUMIFS('RA120-R'!M:M,'RA120-R'!G:G, "2650",'RA120-R'!H:H,"1801")+ SUMIFS('RA120-R'!M:M,'RA120-R'!G:G, "2651",'RA120-R'!H:H,"1801")+ SUMIFS('RA120-R'!M:M,'RA120-R'!G:G, "2652",'RA120-R'!H:H,"1801")+ SUMIFS('RA120-R'!M:M,'RA120-R'!G:G, "2653",'RA120-R'!H:H,"1801")+ SUMIFS('RA120-R'!M:M,'RA120-R'!G:G, "2654",'RA120-R'!H:H,"1801")</f>
        <v>0</v>
      </c>
      <c r="G42" s="18">
        <f t="shared" si="2"/>
        <v>0</v>
      </c>
      <c r="H42" s="51">
        <v>0</v>
      </c>
      <c r="I42" s="51">
        <v>0</v>
      </c>
      <c r="J42" s="51">
        <v>0</v>
      </c>
      <c r="K42" s="51">
        <v>0</v>
      </c>
      <c r="L42" s="2"/>
    </row>
    <row r="43" spans="2:12">
      <c r="B43" s="2"/>
      <c r="C43" s="35" t="s">
        <v>427</v>
      </c>
      <c r="D43" s="36"/>
      <c r="E43" s="18">
        <f>SUMIFS('RA120-R'!L:L,'RA120-R'!G:G, "2623",'RA120-R'!H:H,"1801")+ SUMIFS('RA120-R'!L:L,'RA120-R'!G:G, "2624",'RA120-R'!H:H,"1801")+ SUMIFS('RA120-R'!L:L,'RA120-R'!G:G, "2625",'RA120-R'!H:H,"1801")+ SUMIFS('RA120-R'!L:L,'RA120-R'!G:G, "2626",'RA120-R'!H:H,"1801")+ SUMIFS('RA120-R'!L:L,'RA120-R'!G:G, "2627",'RA120-R'!H:H,"1801")+ SUMIFS('RA120-R'!L:L,'RA120-R'!G:G, "2628",'RA120-R'!H:H,"1801")+ SUMIFS('RA120-R'!L:L,'RA120-R'!G:G, "2629",'RA120-R'!H:H,"1801")+ SUMIFS('RA120-R'!L:L,'RA120-R'!G:G, "2630",'RA120-R'!H:H,"1801")+ SUMIFS('RA120-R'!L:L,'RA120-R'!G:G, "2631",'RA120-R'!H:H,"1801")+ SUMIFS('RA120-R'!L:L,'RA120-R'!G:G, "2632",'RA120-R'!H:H,"1801")+ SUMIFS('RA120-R'!L:L,'RA120-R'!G:G, "2633",'RA120-R'!H:H,"1801")+ SUMIFS('RA120-R'!L:L,'RA120-R'!G:G, "2634",'RA120-R'!H:H,"1801")+ SUMIFS('RA120-R'!L:L,'RA120-R'!G:G, "2635",'RA120-R'!H:H,"1801")+ SUMIFS('RA120-R'!L:L,'RA120-R'!G:G, "2636",'RA120-R'!H:H,"1801")+ SUMIFS('RA120-R'!L:L,'RA120-R'!G:G, "2637",'RA120-R'!H:H,"1801")+ SUMIFS('RA120-R'!L:L,'RA120-R'!G:G, "2638",'RA120-R'!H:H,"1801")</f>
        <v>0</v>
      </c>
      <c r="F43" s="18">
        <f>SUMIFS('RA120-R'!M:M,'RA120-R'!G:G, "2623",'RA120-R'!H:H,"1801")+ SUMIFS('RA120-R'!M:M,'RA120-R'!G:G, "2624",'RA120-R'!H:H,"1801")+ SUMIFS('RA120-R'!M:M,'RA120-R'!G:G, "2625",'RA120-R'!H:H,"1801")+ SUMIFS('RA120-R'!M:M,'RA120-R'!G:G, "2626",'RA120-R'!H:H,"1801")+ SUMIFS('RA120-R'!M:M,'RA120-R'!G:G, "2627",'RA120-R'!H:H,"1801")+ SUMIFS('RA120-R'!M:M,'RA120-R'!G:G, "2628",'RA120-R'!H:H,"1801")+ SUMIFS('RA120-R'!M:M,'RA120-R'!G:G, "2629",'RA120-R'!H:H,"1801")+ SUMIFS('RA120-R'!M:M,'RA120-R'!G:G, "2630",'RA120-R'!H:H,"1801")+ SUMIFS('RA120-R'!M:M,'RA120-R'!G:G, "2631",'RA120-R'!H:H,"1801")+ SUMIFS('RA120-R'!M:M,'RA120-R'!G:G, "2632",'RA120-R'!H:H,"1801")+ SUMIFS('RA120-R'!M:M,'RA120-R'!G:G, "2633",'RA120-R'!H:H,"1801")+ SUMIFS('RA120-R'!M:M,'RA120-R'!G:G, "2634",'RA120-R'!H:H,"1801")+ SUMIFS('RA120-R'!M:M,'RA120-R'!G:G, "2635",'RA120-R'!H:H,"1801")+ SUMIFS('RA120-R'!M:M,'RA120-R'!G:G, "2636",'RA120-R'!H:H,"1801")+ SUMIFS('RA120-R'!M:M,'RA120-R'!G:G, "2637",'RA120-R'!H:H,"1801")+ SUMIFS('RA120-R'!M:M,'RA120-R'!G:G, "2638",'RA120-R'!H:H,"1801")</f>
        <v>0</v>
      </c>
      <c r="G43" s="18">
        <f t="shared" si="2"/>
        <v>0</v>
      </c>
      <c r="H43" s="51">
        <v>0</v>
      </c>
      <c r="I43" s="51">
        <v>0</v>
      </c>
      <c r="J43" s="51">
        <v>0</v>
      </c>
      <c r="K43" s="51">
        <v>0</v>
      </c>
      <c r="L43" s="2"/>
    </row>
    <row r="44" spans="2:12">
      <c r="B44" s="2"/>
      <c r="C44" s="35" t="s">
        <v>273</v>
      </c>
      <c r="D44" s="36"/>
      <c r="E44" s="51">
        <v>0</v>
      </c>
      <c r="F44" s="51">
        <v>0</v>
      </c>
      <c r="G44" s="18">
        <f t="shared" si="2"/>
        <v>0</v>
      </c>
      <c r="H44" s="51">
        <v>0</v>
      </c>
      <c r="I44" s="51">
        <v>0</v>
      </c>
      <c r="J44" s="51">
        <v>0</v>
      </c>
      <c r="K44" s="51">
        <v>0</v>
      </c>
      <c r="L44" s="2"/>
    </row>
    <row r="45" spans="2:12">
      <c r="B45" s="2"/>
      <c r="C45" s="35" t="s">
        <v>428</v>
      </c>
      <c r="D45" s="36"/>
      <c r="E45" s="51">
        <v>0</v>
      </c>
      <c r="F45" s="51">
        <v>0</v>
      </c>
      <c r="G45" s="18">
        <f t="shared" si="2"/>
        <v>0</v>
      </c>
      <c r="H45" s="51">
        <v>0</v>
      </c>
      <c r="I45" s="51">
        <v>0</v>
      </c>
      <c r="J45" s="51">
        <v>0</v>
      </c>
      <c r="K45" s="51">
        <v>0</v>
      </c>
      <c r="L45" s="2"/>
    </row>
    <row r="46" spans="2:12">
      <c r="B46" s="2"/>
      <c r="C46" s="35" t="s">
        <v>429</v>
      </c>
      <c r="D46" s="36"/>
      <c r="E46" s="18">
        <f>SUMIFS('RA110-R'!AB:AB,'RA110-R'!M:M,"2066",'RA110-R'!K:K,"1801")</f>
        <v>0</v>
      </c>
      <c r="F46" s="18">
        <f>SUMIFS('RA110-R'!AC:AC,'RA110-R'!M:M,"2066",'RA110-R'!K:K,"1801")</f>
        <v>0</v>
      </c>
      <c r="G46" s="18">
        <f t="shared" si="2"/>
        <v>0</v>
      </c>
      <c r="H46" s="51">
        <v>0</v>
      </c>
      <c r="I46" s="51">
        <v>0</v>
      </c>
      <c r="J46" s="51">
        <v>0</v>
      </c>
      <c r="K46" s="51">
        <v>0</v>
      </c>
      <c r="L46" s="2"/>
    </row>
    <row r="47" spans="2:12">
      <c r="B47" s="2"/>
      <c r="C47" s="35" t="s">
        <v>276</v>
      </c>
      <c r="D47" s="36"/>
      <c r="E47" s="18">
        <f>+SUMIF('RA130-R'!F:F,"1801",'RA130-R'!H:H)</f>
        <v>0</v>
      </c>
      <c r="F47" s="18">
        <f>0</f>
        <v>0</v>
      </c>
      <c r="G47" s="18">
        <f t="shared" si="2"/>
        <v>0</v>
      </c>
      <c r="H47" s="51">
        <v>0</v>
      </c>
      <c r="I47" s="51">
        <v>0</v>
      </c>
      <c r="J47" s="51">
        <v>0</v>
      </c>
      <c r="K47" s="18">
        <f>0</f>
        <v>0</v>
      </c>
      <c r="L47" s="2"/>
    </row>
    <row r="48" spans="2:12">
      <c r="B48" s="2"/>
      <c r="C48" s="37" t="s">
        <v>430</v>
      </c>
      <c r="D48" s="38"/>
      <c r="E48" s="18">
        <f t="shared" ref="E48:K48" si="3">SUM(E40:E47)</f>
        <v>0</v>
      </c>
      <c r="F48" s="18">
        <f t="shared" si="3"/>
        <v>0</v>
      </c>
      <c r="G48" s="18">
        <f t="shared" si="3"/>
        <v>0</v>
      </c>
      <c r="H48" s="18">
        <f t="shared" si="3"/>
        <v>0</v>
      </c>
      <c r="I48" s="18">
        <f t="shared" si="3"/>
        <v>0</v>
      </c>
      <c r="J48" s="18">
        <f t="shared" si="3"/>
        <v>0</v>
      </c>
      <c r="K48" s="18">
        <f t="shared" si="3"/>
        <v>0</v>
      </c>
      <c r="L48" s="2"/>
    </row>
    <row r="49" spans="2:12">
      <c r="B49" s="2"/>
      <c r="C49" s="37" t="s">
        <v>431</v>
      </c>
      <c r="D49" s="38"/>
      <c r="E49" s="18">
        <f t="shared" ref="E49:K49" si="4">E38+E48</f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2"/>
    </row>
    <row r="50" spans="2: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5.0999999999999996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 sheet="1" formatColumns="0" formatRows="0" selectLockedCells="1"/>
  <mergeCells count="165">
    <mergeCell ref="C7:K7"/>
    <mergeCell ref="C9:K9"/>
    <mergeCell ref="C10:K10"/>
    <mergeCell ref="C11:K11"/>
    <mergeCell ref="C13:K13"/>
    <mergeCell ref="I14:I15"/>
    <mergeCell ref="J14:J15"/>
    <mergeCell ref="K14:K15"/>
    <mergeCell ref="C16:D16"/>
    <mergeCell ref="C17:D17"/>
    <mergeCell ref="H17"/>
    <mergeCell ref="I17"/>
    <mergeCell ref="J17"/>
    <mergeCell ref="K17"/>
    <mergeCell ref="C14:D15"/>
    <mergeCell ref="E14:E15"/>
    <mergeCell ref="F14:F15"/>
    <mergeCell ref="G14:G15"/>
    <mergeCell ref="H14:H15"/>
    <mergeCell ref="C19:D19"/>
    <mergeCell ref="H19"/>
    <mergeCell ref="I19"/>
    <mergeCell ref="J19"/>
    <mergeCell ref="K19"/>
    <mergeCell ref="C18:D18"/>
    <mergeCell ref="H18"/>
    <mergeCell ref="I18"/>
    <mergeCell ref="J18"/>
    <mergeCell ref="K18"/>
    <mergeCell ref="C21:D21"/>
    <mergeCell ref="H21"/>
    <mergeCell ref="I21"/>
    <mergeCell ref="J21"/>
    <mergeCell ref="K21"/>
    <mergeCell ref="C20:D20"/>
    <mergeCell ref="H20"/>
    <mergeCell ref="I20"/>
    <mergeCell ref="J20"/>
    <mergeCell ref="K20"/>
    <mergeCell ref="C23:D23"/>
    <mergeCell ref="H23"/>
    <mergeCell ref="I23"/>
    <mergeCell ref="J23"/>
    <mergeCell ref="K23"/>
    <mergeCell ref="C22:D22"/>
    <mergeCell ref="H22"/>
    <mergeCell ref="I22"/>
    <mergeCell ref="J22"/>
    <mergeCell ref="K22"/>
    <mergeCell ref="C25:D25"/>
    <mergeCell ref="H25"/>
    <mergeCell ref="I25"/>
    <mergeCell ref="J25"/>
    <mergeCell ref="K25"/>
    <mergeCell ref="C24:D24"/>
    <mergeCell ref="H24"/>
    <mergeCell ref="I24"/>
    <mergeCell ref="J24"/>
    <mergeCell ref="K24"/>
    <mergeCell ref="C27:D27"/>
    <mergeCell ref="H27"/>
    <mergeCell ref="I27"/>
    <mergeCell ref="J27"/>
    <mergeCell ref="K27"/>
    <mergeCell ref="C26:D26"/>
    <mergeCell ref="H26"/>
    <mergeCell ref="I26"/>
    <mergeCell ref="J26"/>
    <mergeCell ref="K26"/>
    <mergeCell ref="C29:D29"/>
    <mergeCell ref="H29"/>
    <mergeCell ref="I29"/>
    <mergeCell ref="J29"/>
    <mergeCell ref="K29"/>
    <mergeCell ref="C28:D28"/>
    <mergeCell ref="H28"/>
    <mergeCell ref="I28"/>
    <mergeCell ref="J28"/>
    <mergeCell ref="K28"/>
    <mergeCell ref="C31:D31"/>
    <mergeCell ref="H31"/>
    <mergeCell ref="I31"/>
    <mergeCell ref="J31"/>
    <mergeCell ref="K31"/>
    <mergeCell ref="C30:D30"/>
    <mergeCell ref="H30"/>
    <mergeCell ref="I30"/>
    <mergeCell ref="J30"/>
    <mergeCell ref="K30"/>
    <mergeCell ref="C33:D33"/>
    <mergeCell ref="H33"/>
    <mergeCell ref="I33"/>
    <mergeCell ref="J33"/>
    <mergeCell ref="K33"/>
    <mergeCell ref="C32:D32"/>
    <mergeCell ref="H32"/>
    <mergeCell ref="I32"/>
    <mergeCell ref="J32"/>
    <mergeCell ref="K32"/>
    <mergeCell ref="K36"/>
    <mergeCell ref="C35:D35"/>
    <mergeCell ref="H35"/>
    <mergeCell ref="I35"/>
    <mergeCell ref="J35"/>
    <mergeCell ref="K35"/>
    <mergeCell ref="C34:D34"/>
    <mergeCell ref="H34"/>
    <mergeCell ref="I34"/>
    <mergeCell ref="J34"/>
    <mergeCell ref="K34"/>
    <mergeCell ref="C37:D37"/>
    <mergeCell ref="H37"/>
    <mergeCell ref="I37"/>
    <mergeCell ref="J37"/>
    <mergeCell ref="C38:D38"/>
    <mergeCell ref="C36:D36"/>
    <mergeCell ref="H36"/>
    <mergeCell ref="I36"/>
    <mergeCell ref="J36"/>
    <mergeCell ref="K40"/>
    <mergeCell ref="C41:D41"/>
    <mergeCell ref="H41"/>
    <mergeCell ref="I41"/>
    <mergeCell ref="J41"/>
    <mergeCell ref="K41"/>
    <mergeCell ref="C39:D39"/>
    <mergeCell ref="C40:D40"/>
    <mergeCell ref="H40"/>
    <mergeCell ref="I40"/>
    <mergeCell ref="J40"/>
    <mergeCell ref="C43:D43"/>
    <mergeCell ref="H43"/>
    <mergeCell ref="I43"/>
    <mergeCell ref="J43"/>
    <mergeCell ref="K43"/>
    <mergeCell ref="C42:D42"/>
    <mergeCell ref="H42"/>
    <mergeCell ref="I42"/>
    <mergeCell ref="J42"/>
    <mergeCell ref="K42"/>
    <mergeCell ref="K46"/>
    <mergeCell ref="J44"/>
    <mergeCell ref="K44"/>
    <mergeCell ref="C45:D45"/>
    <mergeCell ref="E45"/>
    <mergeCell ref="F45"/>
    <mergeCell ref="H45"/>
    <mergeCell ref="I45"/>
    <mergeCell ref="J45"/>
    <mergeCell ref="K45"/>
    <mergeCell ref="C44:D44"/>
    <mergeCell ref="E44"/>
    <mergeCell ref="F44"/>
    <mergeCell ref="H44"/>
    <mergeCell ref="I44"/>
    <mergeCell ref="C49:D49"/>
    <mergeCell ref="C47:D47"/>
    <mergeCell ref="H47"/>
    <mergeCell ref="I47"/>
    <mergeCell ref="J47"/>
    <mergeCell ref="C48:D48"/>
    <mergeCell ref="C46:D46"/>
    <mergeCell ref="H46"/>
    <mergeCell ref="I46"/>
    <mergeCell ref="J46"/>
  </mergeCells>
  <dataValidations count="118"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432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410</v>
      </c>
      <c r="D9" s="46"/>
      <c r="E9" s="46"/>
      <c r="F9" s="46"/>
      <c r="G9" s="46"/>
      <c r="H9" s="2"/>
    </row>
    <row r="10" spans="2:8">
      <c r="B10" s="2"/>
      <c r="C10" s="46" t="s">
        <v>433</v>
      </c>
      <c r="D10" s="46"/>
      <c r="E10" s="46"/>
      <c r="F10" s="46"/>
      <c r="G10" s="46"/>
      <c r="H10" s="2"/>
    </row>
    <row r="11" spans="2: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 t="s">
        <v>232</v>
      </c>
      <c r="D13" s="48"/>
      <c r="E13" s="48"/>
      <c r="F13" s="48"/>
      <c r="G13" s="48"/>
      <c r="H13" s="2"/>
    </row>
    <row r="14" spans="2:8">
      <c r="B14" s="2"/>
      <c r="C14" s="40" t="s">
        <v>236</v>
      </c>
      <c r="D14" s="38"/>
      <c r="E14" s="43" t="str">
        <f>"Saldo Buku Besar (SAK)"</f>
        <v>Saldo Buku Besar (SAK)</v>
      </c>
      <c r="F14" s="43" t="str">
        <f>"Penilaian Berdasarkan SAP"</f>
        <v>Penilaian Berdasarkan SAP</v>
      </c>
      <c r="G14" s="43" t="str">
        <f>"Selisih Penilaian SAK dan SAP"</f>
        <v>Selisih Penilaian SAK dan SAP</v>
      </c>
      <c r="H14" s="2"/>
    </row>
    <row r="15" spans="2:8">
      <c r="B15" s="2"/>
      <c r="C15" s="41"/>
      <c r="D15" s="42"/>
      <c r="E15" s="44"/>
      <c r="F15" s="44"/>
      <c r="G15" s="44"/>
      <c r="H15" s="2"/>
    </row>
    <row r="16" spans="2:8">
      <c r="B16" s="2"/>
      <c r="C16" s="37" t="s">
        <v>434</v>
      </c>
      <c r="D16" s="38"/>
      <c r="E16" s="51">
        <v>0</v>
      </c>
      <c r="F16" s="51">
        <v>0</v>
      </c>
      <c r="G16" s="18">
        <f>E16-F16</f>
        <v>0</v>
      </c>
      <c r="H16" s="2"/>
    </row>
    <row r="17" spans="2:8">
      <c r="B17" s="2"/>
      <c r="C17" s="37" t="s">
        <v>435</v>
      </c>
      <c r="D17" s="38"/>
      <c r="E17" s="51">
        <v>0</v>
      </c>
      <c r="F17" s="51">
        <v>0</v>
      </c>
      <c r="G17" s="18">
        <f>E17-F17</f>
        <v>0</v>
      </c>
      <c r="H17" s="2"/>
    </row>
    <row r="18" spans="2:8">
      <c r="B18" s="2"/>
      <c r="C18" s="37" t="s">
        <v>436</v>
      </c>
      <c r="D18" s="38"/>
      <c r="E18" s="51">
        <v>0</v>
      </c>
      <c r="F18" s="51">
        <v>0</v>
      </c>
      <c r="G18" s="18">
        <f>E18-F18</f>
        <v>0</v>
      </c>
      <c r="H18" s="2"/>
    </row>
    <row r="19" spans="2:8">
      <c r="B19" s="2"/>
      <c r="C19" s="37" t="s">
        <v>437</v>
      </c>
      <c r="D19" s="38"/>
      <c r="E19" s="18">
        <f>SUM(E16:E18)</f>
        <v>0</v>
      </c>
      <c r="F19" s="18">
        <f>SUM(F16:F18)</f>
        <v>0</v>
      </c>
      <c r="G19" s="18">
        <f>SUM(G16:G18)</f>
        <v>0</v>
      </c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 ht="5.0999999999999996" customHeight="1">
      <c r="B21" s="2"/>
      <c r="C21" s="2"/>
      <c r="D21" s="2"/>
      <c r="E21" s="2"/>
      <c r="F21" s="2"/>
      <c r="G21" s="2"/>
      <c r="H21" s="2"/>
    </row>
  </sheetData>
  <sheetProtection sheet="1" formatColumns="0" formatRows="0" selectLockedCells="1"/>
  <mergeCells count="19">
    <mergeCell ref="C7:G7"/>
    <mergeCell ref="C9:G9"/>
    <mergeCell ref="C10:G10"/>
    <mergeCell ref="C11:G11"/>
    <mergeCell ref="C13:G13"/>
    <mergeCell ref="C14:D15"/>
    <mergeCell ref="E14:E15"/>
    <mergeCell ref="F14:F15"/>
    <mergeCell ref="G14:G15"/>
    <mergeCell ref="C16:D16"/>
    <mergeCell ref="E16"/>
    <mergeCell ref="F16"/>
    <mergeCell ref="C19:D19"/>
    <mergeCell ref="C17:D17"/>
    <mergeCell ref="E17"/>
    <mergeCell ref="F17"/>
    <mergeCell ref="C18:D18"/>
    <mergeCell ref="E18"/>
    <mergeCell ref="F18"/>
  </mergeCells>
  <dataValidations count="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46" t="s">
        <v>438</v>
      </c>
      <c r="D9" s="46"/>
      <c r="E9" s="46"/>
      <c r="F9" s="46"/>
      <c r="G9" s="46"/>
      <c r="H9" s="46"/>
      <c r="I9" s="46"/>
      <c r="J9" s="46"/>
      <c r="K9" s="46"/>
      <c r="L9" s="2"/>
    </row>
    <row r="10" spans="2:12">
      <c r="B10" s="2"/>
      <c r="C10" s="46" t="s">
        <v>439</v>
      </c>
      <c r="D10" s="46"/>
      <c r="E10" s="46"/>
      <c r="F10" s="46"/>
      <c r="G10" s="46"/>
      <c r="H10" s="46"/>
      <c r="I10" s="46"/>
      <c r="J10" s="46"/>
      <c r="K10" s="46"/>
      <c r="L10" s="2"/>
    </row>
    <row r="11" spans="2:12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2"/>
    </row>
    <row r="14" spans="2:12">
      <c r="B14" s="2"/>
      <c r="C14" s="40" t="s">
        <v>236</v>
      </c>
      <c r="D14" s="38"/>
      <c r="E14" s="43" t="str">
        <f>"Saldo Buku Besar (SAK)"</f>
        <v>Saldo Buku Besar (SAK)</v>
      </c>
      <c r="F14" s="43" t="str">
        <f>"Penilaian Berdasarkan SAP"</f>
        <v>Penilaian Berdasarkan SAP</v>
      </c>
      <c r="G14" s="43" t="str">
        <f>"Selisih Berdasarkan Penilaian Berdasarkan SAK dan SAP"</f>
        <v>Selisih Berdasarkan Penilaian Berdasarkan SAK dan SAP</v>
      </c>
      <c r="H14" s="43" t="str">
        <f>"AYD Setelah Batasan Per Perusahaan"</f>
        <v>AYD Setelah Batasan Per Perusahaan</v>
      </c>
      <c r="I14" s="43" t="str">
        <f>"AYD Setelah Batasan Per Jenis Aset"</f>
        <v>AYD Setelah Batasan Per Jenis Aset</v>
      </c>
      <c r="J14" s="43" t="str">
        <f>"AYD Setelah Batasan Afiliasi"</f>
        <v>AYD Setelah Batasan Afiliasi</v>
      </c>
      <c r="K14" s="43" t="str">
        <f>"AYD Setelah Batasan Luar Negeri (Saldo SAP)"</f>
        <v>AYD Setelah Batasan Luar Negeri (Saldo SAP)</v>
      </c>
      <c r="L14" s="2"/>
    </row>
    <row r="15" spans="2:12">
      <c r="B15" s="2"/>
      <c r="C15" s="41"/>
      <c r="D15" s="42"/>
      <c r="E15" s="44"/>
      <c r="F15" s="44"/>
      <c r="G15" s="44"/>
      <c r="H15" s="44"/>
      <c r="I15" s="44"/>
      <c r="J15" s="44"/>
      <c r="K15" s="44"/>
      <c r="L15" s="2"/>
    </row>
    <row r="16" spans="2:12">
      <c r="B16" s="2"/>
      <c r="C16" s="37" t="s">
        <v>412</v>
      </c>
      <c r="D16" s="38"/>
      <c r="E16" s="18">
        <f>0</f>
        <v>0</v>
      </c>
      <c r="F16" s="18">
        <f>0</f>
        <v>0</v>
      </c>
      <c r="G16" s="18">
        <f>0</f>
        <v>0</v>
      </c>
      <c r="H16" s="18">
        <f>0</f>
        <v>0</v>
      </c>
      <c r="I16" s="18">
        <f>0</f>
        <v>0</v>
      </c>
      <c r="J16" s="18">
        <f>0</f>
        <v>0</v>
      </c>
      <c r="K16" s="18">
        <f>0</f>
        <v>0</v>
      </c>
      <c r="L16" s="2"/>
    </row>
    <row r="17" spans="2:12">
      <c r="B17" s="2"/>
      <c r="C17" s="35" t="s">
        <v>413</v>
      </c>
      <c r="D17" s="36"/>
      <c r="E17" s="18">
        <f>SUMIFS('RA110-R'!AB:AB,'RA110-R'!M:M,"2002",'RA110-R'!K:K,"1802")+SUMIFS('RA110-R'!AB:AB,'RA110-R'!M:M,"2002",'RA110-R'!K:K,"1803")</f>
        <v>0</v>
      </c>
      <c r="F17" s="18">
        <f>SUMIFS('RA110-R'!AC:AC,'RA110-R'!M:M,"2002",'RA110-R'!K:K,"1802")+SUMIFS('RA110-R'!AB:AB,'RA110-R'!M:M,"2002",'RA110-R'!K:K,"1803")</f>
        <v>0</v>
      </c>
      <c r="G17" s="18">
        <f t="shared" ref="G17:G34" si="0">E17-F17</f>
        <v>0</v>
      </c>
      <c r="H17" s="51">
        <v>0</v>
      </c>
      <c r="I17" s="51">
        <v>0</v>
      </c>
      <c r="J17" s="51">
        <v>0</v>
      </c>
      <c r="K17" s="51">
        <v>0</v>
      </c>
      <c r="L17" s="2"/>
    </row>
    <row r="18" spans="2:12">
      <c r="B18" s="2"/>
      <c r="C18" s="35" t="s">
        <v>250</v>
      </c>
      <c r="D18" s="36"/>
      <c r="E18" s="18">
        <f>SUMIFS('RA110-R'!AB:AB,'RA110-R'!M:M,"2011",'RA110-R'!K:K,"1802")+SUMIFS('RA110-R'!AB:AB,'RA110-R'!M:M,"2011",'RA110-R'!K:K,"1803")</f>
        <v>0</v>
      </c>
      <c r="F18" s="18">
        <f>SUMIFS('RA110-R'!AC:AC,'RA110-R'!M:M,"2011",'RA110-R'!K:K,"1802")+SUMIFS('RA110-R'!AB:AB,'RA110-R'!M:M,"2011",'RA110-R'!K:K,"1803")</f>
        <v>0</v>
      </c>
      <c r="G18" s="18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2"/>
    </row>
    <row r="19" spans="2:12">
      <c r="B19" s="2"/>
      <c r="C19" s="35" t="s">
        <v>251</v>
      </c>
      <c r="D19" s="36"/>
      <c r="E19" s="18">
        <f>SUMIFS('RA110-R'!AB:AB,'RA110-R'!M:M,"2031",'RA110-R'!K:K,"1802")+SUMIFS('RA110-R'!AB:AB,'RA110-R'!M:M,"2031",'RA110-R'!K:K,"1803")</f>
        <v>0</v>
      </c>
      <c r="F19" s="18">
        <f>SUMIFS('RA110-R'!AC:AC,'RA110-R'!M:M,"2031",'RA110-R'!K:K,"1802")+SUMIFS('RA110-R'!AC:AC,'RA110-R'!M:M,"2031",'RA110-R'!K:K,"1803")</f>
        <v>0</v>
      </c>
      <c r="G19" s="18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2"/>
    </row>
    <row r="20" spans="2:12">
      <c r="B20" s="2"/>
      <c r="C20" s="35" t="s">
        <v>252</v>
      </c>
      <c r="D20" s="36"/>
      <c r="E20" s="18">
        <f>SUMIFS('RA110-R'!AB:AB,'RA110-R'!M:M,"2024",'RA110-R'!K:K,"1802")+SUMIFS('RA110-R'!AB:AB,'RA110-R'!M:M,"2024",'RA110-R'!K:K,"1803")</f>
        <v>0</v>
      </c>
      <c r="F20" s="18">
        <f>SUMIFS('RA110-R'!AC:AC,'RA110-R'!M:M,"2024",'RA110-R'!K:K,"1802")+SUMIFS('RA110-R'!AB:AB,'RA110-R'!M:M,"2024",'RA110-R'!K:K,"1803")</f>
        <v>0</v>
      </c>
      <c r="G20" s="18">
        <f t="shared" si="0"/>
        <v>0</v>
      </c>
      <c r="H20" s="51">
        <v>0</v>
      </c>
      <c r="I20" s="51">
        <v>0</v>
      </c>
      <c r="J20" s="51">
        <v>0</v>
      </c>
      <c r="K20" s="51">
        <v>0</v>
      </c>
      <c r="L20" s="2"/>
    </row>
    <row r="21" spans="2:12">
      <c r="B21" s="2"/>
      <c r="C21" s="35" t="s">
        <v>253</v>
      </c>
      <c r="D21" s="36"/>
      <c r="E21" s="18">
        <f>SUMIFS('RA110-R'!AB:AB,'RA110-R'!M:M,"2027",'RA110-R'!K:K,"1802")+SUMIFS('RA110-R'!AB:AB,'RA110-R'!M:M,"2027",'RA110-R'!K:K,"1803")</f>
        <v>0</v>
      </c>
      <c r="F21" s="18">
        <f>SUMIFS('RA110-R'!AC:AC,'RA110-R'!M:M,"2027",'RA110-R'!K:K,"1802")+SUMIFS('RA110-R'!AB:AB,'RA110-R'!M:M,"2027",'RA110-R'!K:K,"1803")</f>
        <v>0</v>
      </c>
      <c r="G21" s="18">
        <f t="shared" si="0"/>
        <v>0</v>
      </c>
      <c r="H21" s="51">
        <v>0</v>
      </c>
      <c r="I21" s="51">
        <v>0</v>
      </c>
      <c r="J21" s="51">
        <v>0</v>
      </c>
      <c r="K21" s="51">
        <v>0</v>
      </c>
      <c r="L21" s="2"/>
    </row>
    <row r="22" spans="2:12">
      <c r="B22" s="2"/>
      <c r="C22" s="35" t="s">
        <v>414</v>
      </c>
      <c r="D22" s="36"/>
      <c r="E22" s="18">
        <f>SUMIFS('RA110-R'!AB:AB,'RA110-R'!K:K,"1802",'RA110-R'!M:M,"2023")+SUMIFS('RA110-R'!AB:AB,'RA110-R'!K:K,"1803", 'RA110-R'!M:M,"2023")</f>
        <v>0</v>
      </c>
      <c r="F22" s="18">
        <f>SUMIFS('RA110-R'!AC:AC,'RA110-R'!K:K,"1802",'RA110-R'!M:M,"2023")+SUMIFS('RA110-R'!AB:AB,'RA110-R'!K:K,"1803", 'RA110-R'!M:M,"2023")</f>
        <v>0</v>
      </c>
      <c r="G22" s="18">
        <f t="shared" si="0"/>
        <v>0</v>
      </c>
      <c r="H22" s="51">
        <v>0</v>
      </c>
      <c r="I22" s="51">
        <v>0</v>
      </c>
      <c r="J22" s="51">
        <v>0</v>
      </c>
      <c r="K22" s="51">
        <v>0</v>
      </c>
      <c r="L22" s="2"/>
    </row>
    <row r="23" spans="2:12">
      <c r="B23" s="2"/>
      <c r="C23" s="35" t="s">
        <v>415</v>
      </c>
      <c r="D23" s="36"/>
      <c r="E23" s="18">
        <f>SUMIFS('RA110-R'!AB:AB,'RA110-R'!M:M,"2012",'RA110-R'!K:K,"1802")+SUMIFS('RA110-R'!AB:AB,'RA110-R'!M:M,"2012",'RA110-R'!K:K,"1803")</f>
        <v>0</v>
      </c>
      <c r="F23" s="18">
        <f>SUMIFS('RA110-R'!AC:AC,'RA110-R'!M:M,"2012",'RA110-R'!K:K,"1802")+SUMIFS('RA110-R'!AB:AB,'RA110-R'!M:M,"2012",'RA110-R'!K:K,"1803")</f>
        <v>0</v>
      </c>
      <c r="G23" s="18">
        <f t="shared" si="0"/>
        <v>0</v>
      </c>
      <c r="H23" s="51">
        <v>0</v>
      </c>
      <c r="I23" s="51">
        <v>0</v>
      </c>
      <c r="J23" s="51">
        <v>0</v>
      </c>
      <c r="K23" s="51">
        <v>0</v>
      </c>
      <c r="L23" s="2"/>
    </row>
    <row r="24" spans="2:12">
      <c r="B24" s="2"/>
      <c r="C24" s="35" t="s">
        <v>416</v>
      </c>
      <c r="D24" s="36"/>
      <c r="E24" s="18">
        <f>SUMIFS('RA110-R'!AB:AB,'RA110-R'!M:M,"2026",'RA110-R'!K:K,"1802")+SUMIFS('RA110-R'!AB:AB,'RA110-R'!M:M,"2026",'RA110-R'!K:K,"1803")</f>
        <v>0</v>
      </c>
      <c r="F24" s="18">
        <f>SUMIFS('RA110-R'!AC:AC,'RA110-R'!M:M,"2026",'RA110-R'!K:K,"1802")+SUMIFS('RA110-R'!AB:AB,'RA110-R'!M:M,"2026",'RA110-R'!K:K,"1803")</f>
        <v>0</v>
      </c>
      <c r="G24" s="18">
        <f t="shared" si="0"/>
        <v>0</v>
      </c>
      <c r="H24" s="51">
        <v>0</v>
      </c>
      <c r="I24" s="51">
        <v>0</v>
      </c>
      <c r="J24" s="51">
        <v>0</v>
      </c>
      <c r="K24" s="51">
        <v>0</v>
      </c>
      <c r="L24" s="2"/>
    </row>
    <row r="25" spans="2:12">
      <c r="B25" s="2"/>
      <c r="C25" s="35" t="s">
        <v>417</v>
      </c>
      <c r="D25" s="36"/>
      <c r="E25" s="18">
        <f>SUMIFS('RA110-R'!AB:AB,'RA110-R'!M:M,"2025",'RA110-R'!K:K,"1802")+SUMIFS('RA110-R'!AB:AB,'RA110-R'!M:M,"2025",'RA110-R'!K:K,"1803")</f>
        <v>0</v>
      </c>
      <c r="F25" s="18">
        <f>SUMIFS('RA110-R'!AC:AC,'RA110-R'!M:M,"2025",'RA110-R'!K:K,"1802")+SUMIFS('RA110-R'!AB:AB,'RA110-R'!M:M,"2025",'RA110-R'!K:K,"1803")</f>
        <v>0</v>
      </c>
      <c r="G25" s="18">
        <f t="shared" si="0"/>
        <v>0</v>
      </c>
      <c r="H25" s="51">
        <v>0</v>
      </c>
      <c r="I25" s="51">
        <v>0</v>
      </c>
      <c r="J25" s="51">
        <v>0</v>
      </c>
      <c r="K25" s="51">
        <v>0</v>
      </c>
      <c r="L25" s="2"/>
    </row>
    <row r="26" spans="2:12">
      <c r="B26" s="2"/>
      <c r="C26" s="35" t="s">
        <v>258</v>
      </c>
      <c r="D26" s="36"/>
      <c r="E26" s="18">
        <f>SUMIFS('RA110-R'!AB:AB,'RA110-R'!M:M, "2043",'RA110-R'!K:K,"1802")+ SUMIFS('RA110-R'!AB:AB,'RA110-R'!M:M, "2044",'RA110-R'!K:K,"1802")+ SUMIFS('RA110-R'!AB:AB,'RA110-R'!M:M, "2045",'RA110-R'!K:K,"1802")+ SUMIFS('RA110-R'!AB:AB,'RA110-R'!M:M, "2046",'RA110-R'!K:K,"1802")+ SUMIFS('RA110-R'!AB:AB,'RA110-R'!M:M, "2043",'RA110-R'!K:K,"1803")+ SUMIFS('RA110-R'!AB:AB,'RA110-R'!M:M, "2044",'RA110-R'!K:K,"1803")+ SUMIFS('RA110-R'!AB:AB,'RA110-R'!M:M, "2045",'RA110-R'!K:K,"1803")+ SUMIFS('RA110-R'!AB:AB,'RA110-R'!M:M, "2046",'RA110-R'!K:K,"1803")</f>
        <v>0</v>
      </c>
      <c r="F26" s="18">
        <f>SUMIFS('RA110-R'!AC:AC,'RA110-R'!M:M, "2043",'RA110-R'!K:K,"1802")+ SUMIFS('RA110-R'!AB:AB,'RA110-R'!M:M, "2044",'RA110-R'!K:K,"1802")+ SUMIFS('RA110-R'!AB:AB,'RA110-R'!M:M, "2045",'RA110-R'!K:K,"1802")+ SUMIFS('RA110-R'!AB:AB,'RA110-R'!M:M, "2046",'RA110-R'!K:K,"1802")+ SUMIFS('RA110-R'!AB:AB,'RA110-R'!M:M, "2043",'RA110-R'!K:K,"1803")+ SUMIFS('RA110-R'!AB:AB,'RA110-R'!M:M, "2044",'RA110-R'!K:K,"1803")+ SUMIFS('RA110-R'!AB:AB,'RA110-R'!M:M, "2045",'RA110-R'!K:K,"1803")+ SUMIFS('RA110-R'!AB:AB,'RA110-R'!M:M, "2046",'RA110-R'!K:K,"1803")</f>
        <v>0</v>
      </c>
      <c r="G26" s="18">
        <f t="shared" si="0"/>
        <v>0</v>
      </c>
      <c r="H26" s="51">
        <v>0</v>
      </c>
      <c r="I26" s="51">
        <v>0</v>
      </c>
      <c r="J26" s="51">
        <v>0</v>
      </c>
      <c r="K26" s="51">
        <v>0</v>
      </c>
      <c r="L26" s="2"/>
    </row>
    <row r="27" spans="2:12">
      <c r="B27" s="2"/>
      <c r="C27" s="35" t="s">
        <v>259</v>
      </c>
      <c r="D27" s="36"/>
      <c r="E27" s="18">
        <f>SUMIFS('RA110-R'!AB:AB,'RA110-R'!M:M,"2048",'RA110-R'!K:K,"1802")+SUMIFS('RA110-R'!AB:AB,'RA110-R'!M:M,"2048",'RA110-R'!K:K,"1803")</f>
        <v>0</v>
      </c>
      <c r="F27" s="18">
        <f>SUMIFS('RA110-R'!AC:AC,'RA110-R'!M:M,"2048",'RA110-R'!K:K,"1802")+SUMIFS('RA110-R'!AB:AB,'RA110-R'!M:M,"2048",'RA110-R'!K:K,"1803")</f>
        <v>0</v>
      </c>
      <c r="G27" s="18">
        <f t="shared" si="0"/>
        <v>0</v>
      </c>
      <c r="H27" s="51">
        <v>0</v>
      </c>
      <c r="I27" s="51">
        <v>0</v>
      </c>
      <c r="J27" s="51">
        <v>0</v>
      </c>
      <c r="K27" s="51">
        <v>0</v>
      </c>
      <c r="L27" s="2"/>
    </row>
    <row r="28" spans="2:12">
      <c r="B28" s="2"/>
      <c r="C28" s="35" t="s">
        <v>418</v>
      </c>
      <c r="D28" s="36"/>
      <c r="E28" s="18">
        <f>SUMIFS('RA110-R'!AB:AB,'RA110-R'!M:M,"2049",'RA110-R'!K:K,"1802")+SUMIFS('RA110-R'!AB:AB,'RA110-R'!M:M,"2049",'RA110-R'!K:K,"1803")</f>
        <v>0</v>
      </c>
      <c r="F28" s="18">
        <f>SUMIFS('RA110-R'!AC:AC,'RA110-R'!M:M,"2049",'RA110-R'!K:K,"1802")+SUMIFS('RA110-R'!AB:AB,'RA110-R'!M:M,"2049",'RA110-R'!K:K,"1803")</f>
        <v>0</v>
      </c>
      <c r="G28" s="18">
        <f t="shared" si="0"/>
        <v>0</v>
      </c>
      <c r="H28" s="51">
        <v>0</v>
      </c>
      <c r="I28" s="51">
        <v>0</v>
      </c>
      <c r="J28" s="51">
        <v>0</v>
      </c>
      <c r="K28" s="51">
        <v>0</v>
      </c>
      <c r="L28" s="2"/>
    </row>
    <row r="29" spans="2:12">
      <c r="B29" s="2"/>
      <c r="C29" s="35" t="s">
        <v>261</v>
      </c>
      <c r="D29" s="36"/>
      <c r="E29" s="18">
        <f>SUMIFS('RA110-R'!AB:AB,'RA110-R'!M:M,"2061",'RA110-R'!K:K,"1802")+SUMIFS('RA110-R'!AB:AB,'RA110-R'!M:M,"2061",'RA110-R'!K:K,"1803")</f>
        <v>0</v>
      </c>
      <c r="F29" s="18">
        <f>SUMIFS('RA110-R'!AC:AC,'RA110-R'!M:M,"2061",'RA110-R'!K:K,"1802")+SUMIFS('RA110-R'!AB:AB,'RA110-R'!M:M,"2061",'RA110-R'!K:K,"1803")</f>
        <v>0</v>
      </c>
      <c r="G29" s="18">
        <f t="shared" si="0"/>
        <v>0</v>
      </c>
      <c r="H29" s="51">
        <v>0</v>
      </c>
      <c r="I29" s="51">
        <v>0</v>
      </c>
      <c r="J29" s="51">
        <v>0</v>
      </c>
      <c r="K29" s="51">
        <v>0</v>
      </c>
      <c r="L29" s="2"/>
    </row>
    <row r="30" spans="2:12">
      <c r="B30" s="2"/>
      <c r="C30" s="35" t="s">
        <v>419</v>
      </c>
      <c r="D30" s="36"/>
      <c r="E30" s="18">
        <f>SUMIFS('RA110-R'!AB:AB,'RA110-R'!M:M,"2062",'RA110-R'!K:K,"1802")+SUMIFS('RA110-R'!AB:AB,'RA110-R'!M:M,"2062",'RA110-R'!K:K,"1803")</f>
        <v>0</v>
      </c>
      <c r="F30" s="18">
        <f>SUMIFS('RA110-R'!AC:AC,'RA110-R'!M:M,"2062",'RA110-R'!K:K,"1802")+SUMIFS('RA110-R'!AB:AB,'RA110-R'!M:M,"2062",'RA110-R'!K:K,"1803")</f>
        <v>0</v>
      </c>
      <c r="G30" s="18">
        <f t="shared" si="0"/>
        <v>0</v>
      </c>
      <c r="H30" s="51">
        <v>0</v>
      </c>
      <c r="I30" s="51">
        <v>0</v>
      </c>
      <c r="J30" s="51">
        <v>0</v>
      </c>
      <c r="K30" s="51">
        <v>0</v>
      </c>
      <c r="L30" s="2"/>
    </row>
    <row r="31" spans="2:12">
      <c r="B31" s="2"/>
      <c r="C31" s="35" t="s">
        <v>420</v>
      </c>
      <c r="D31" s="36"/>
      <c r="E31" s="18">
        <f>SUMIFS('RA110-R'!AB:AB,'RA110-R'!M:M,"2001",'RA110-R'!K:K,"1802")+SUMIFS('RA110-R'!AB:AB,'RA110-R'!M:M,"2001",'RA110-R'!K:K,"1803")</f>
        <v>0</v>
      </c>
      <c r="F31" s="18">
        <f>SUMIFS('RA110-R'!AC:AC,'RA110-R'!M:M,"2001",'RA110-R'!K:K,"1802")+SUMIFS('RA110-R'!AB:AB,'RA110-R'!M:M,"2001",'RA110-R'!K:K,"1803")</f>
        <v>0</v>
      </c>
      <c r="G31" s="18">
        <f t="shared" si="0"/>
        <v>0</v>
      </c>
      <c r="H31" s="51">
        <v>0</v>
      </c>
      <c r="I31" s="51">
        <v>0</v>
      </c>
      <c r="J31" s="51">
        <v>0</v>
      </c>
      <c r="K31" s="51">
        <v>0</v>
      </c>
      <c r="L31" s="2"/>
    </row>
    <row r="32" spans="2:12">
      <c r="B32" s="2"/>
      <c r="C32" s="35" t="s">
        <v>267</v>
      </c>
      <c r="D32" s="36"/>
      <c r="E32" s="18">
        <f>SUMIFS('RA110-R'!AB:AB,'RA110-R'!M:M,"2028",'RA110-R'!K:K,"1802")+SUMIFS('RA110-R'!AB:AB,'RA110-R'!M:M,"2028",'RA110-R'!K:K,"1803")</f>
        <v>0</v>
      </c>
      <c r="F32" s="18">
        <f>SUMIFS('RA110-R'!AC:AC,'RA110-R'!M:M,"2028",'RA110-R'!K:K,"1802")+SUMIFS('RA110-R'!AB:AB,'RA110-R'!M:M,"2028",'RA110-R'!K:K,"1803")</f>
        <v>0</v>
      </c>
      <c r="G32" s="18">
        <f t="shared" si="0"/>
        <v>0</v>
      </c>
      <c r="H32" s="51">
        <v>0</v>
      </c>
      <c r="I32" s="51">
        <v>0</v>
      </c>
      <c r="J32" s="51">
        <v>0</v>
      </c>
      <c r="K32" s="51">
        <v>0</v>
      </c>
      <c r="L32" s="2"/>
    </row>
    <row r="33" spans="2:12">
      <c r="B33" s="2"/>
      <c r="C33" s="35" t="s">
        <v>268</v>
      </c>
      <c r="D33" s="36"/>
      <c r="E33" s="18">
        <f>SUMIFS('RA110-R'!AB:AB,'RA110-R'!M:M,"2052",'RA110-R'!K:K,"1802")+SUMIFS('RA110-R'!AB:AB,'RA110-R'!M:M,"2052",'RA110-R'!K:K,"1803")</f>
        <v>0</v>
      </c>
      <c r="F33" s="18">
        <f>SUMIFS('RA110-R'!AC:AC,'RA110-R'!M:M,"2052",'RA110-R'!K:K,"1802")+SUMIFS('RA110-R'!AB:AB,'RA110-R'!M:M,"2052",'RA110-R'!K:K,"1803")</f>
        <v>0</v>
      </c>
      <c r="G33" s="18">
        <f t="shared" si="0"/>
        <v>0</v>
      </c>
      <c r="H33" s="51">
        <v>0</v>
      </c>
      <c r="I33" s="51">
        <v>0</v>
      </c>
      <c r="J33" s="51">
        <v>0</v>
      </c>
      <c r="K33" s="51">
        <v>0</v>
      </c>
      <c r="L33" s="2"/>
    </row>
    <row r="34" spans="2:12">
      <c r="B34" s="2"/>
      <c r="C34" s="35" t="s">
        <v>422</v>
      </c>
      <c r="D34" s="36"/>
      <c r="E34" s="18">
        <f>SUMIFS('RA110-R'!AB:AB,'RA110-R'!M:M, "2013",'RA110-R'!K:K,"1802")+ SUMIFS('RA110-R'!AB:AB,'RA110-R'!M:M, "2014",'RA110-R'!K:K,"1802")+ SUMIFS('RA110-R'!AB:AB,'RA110-R'!M:M, "2015",'RA110-R'!K:K,"1802")+ SUMIFS('RA110-R'!AB:AB,'RA110-R'!M:M, "2016",'RA110-R'!K:K,"1802")+ SUMIFS('RA110-R'!AB:AB,'RA110-R'!M:M, "2021",'RA110-R'!K:K,"1802")+ SUMIFS('RA110-R'!AB:AB,'RA110-R'!M:M, "2022",'RA110-R'!K:K,"1802")+ SUMIFS('RA110-R'!AB:AB,'RA110-R'!M:M, "2041",'RA110-R'!K:K,"1802")+ SUMIFS('RA110-R'!AB:AB,'RA110-R'!M:M, "2042",'RA110-R'!K:K,"1802")+ SUMIFS('RA110-R'!AB:AB,'RA110-R'!M:M, "2047",'RA110-R'!K:K,"1802")+ SUMIFS('RA110-R'!AB:AB,'RA110-R'!M:M, "2050",'RA110-R'!K:K,"1802")+ SUMIFS('RA110-R'!AB:AB,'RA110-R'!M:M, "2051",'RA110-R'!K:K,"1802")+ SUMIFS('RA110-R'!AB:AB,'RA110-R'!M:M, "2065",'RA110-R'!K:K,"1802")</f>
        <v>0</v>
      </c>
      <c r="F34" s="18">
        <f>0</f>
        <v>0</v>
      </c>
      <c r="G34" s="18">
        <f t="shared" si="0"/>
        <v>0</v>
      </c>
      <c r="H34" s="51">
        <v>0</v>
      </c>
      <c r="I34" s="51">
        <v>0</v>
      </c>
      <c r="J34" s="51">
        <v>0</v>
      </c>
      <c r="K34" s="18">
        <f>0</f>
        <v>0</v>
      </c>
      <c r="L34" s="2"/>
    </row>
    <row r="35" spans="2:12">
      <c r="B35" s="2"/>
      <c r="C35" s="37" t="s">
        <v>423</v>
      </c>
      <c r="D35" s="38"/>
      <c r="E35" s="18">
        <f t="shared" ref="E35:K35" si="1">SUM(E17:E34)</f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2"/>
    </row>
    <row r="36" spans="2:12">
      <c r="B36" s="2"/>
      <c r="C36" s="37" t="s">
        <v>424</v>
      </c>
      <c r="D36" s="38"/>
      <c r="E36" s="18">
        <f>0</f>
        <v>0</v>
      </c>
      <c r="F36" s="18">
        <f>0</f>
        <v>0</v>
      </c>
      <c r="G36" s="18">
        <f>0</f>
        <v>0</v>
      </c>
      <c r="H36" s="18">
        <f>0</f>
        <v>0</v>
      </c>
      <c r="I36" s="18">
        <f>0</f>
        <v>0</v>
      </c>
      <c r="J36" s="18">
        <f>0</f>
        <v>0</v>
      </c>
      <c r="K36" s="18">
        <f>0</f>
        <v>0</v>
      </c>
      <c r="L36" s="2"/>
    </row>
    <row r="37" spans="2:12">
      <c r="B37" s="2"/>
      <c r="C37" s="35" t="s">
        <v>271</v>
      </c>
      <c r="D37" s="36"/>
      <c r="E37" s="18">
        <f>+'LAK-R'!F18+'LAK-R'!G18</f>
        <v>0</v>
      </c>
      <c r="F37" s="18">
        <f>+'LAK-R'!F18+'LAK-R'!G18</f>
        <v>0</v>
      </c>
      <c r="G37" s="18">
        <f t="shared" ref="G37:G44" si="2">E37-F37</f>
        <v>0</v>
      </c>
      <c r="H37" s="51">
        <v>0</v>
      </c>
      <c r="I37" s="51">
        <v>0</v>
      </c>
      <c r="J37" s="51">
        <v>0</v>
      </c>
      <c r="K37" s="51">
        <v>0</v>
      </c>
      <c r="L37" s="2"/>
    </row>
    <row r="38" spans="2:12">
      <c r="B38" s="2"/>
      <c r="C38" s="35" t="s">
        <v>440</v>
      </c>
      <c r="D38" s="36"/>
      <c r="E38" s="18">
        <f>SUMIFS('RA120-R'!L:L,'RA120-R'!H:H,"1802",'RA120-R'!G:G," 2602")+ SUMIFS('RA120-R'!L:L,'RA120-R'!H:H,"1802",'RA120-R'!G:G," 2603")+ SUMIFS('RA120-R'!L:L,'RA120-R'!H:H,"1802",'RA120-R'!G:G," 2604")+ SUMIFS('RA120-R'!L:L,'RA120-R'!H:H,"1802",'RA120-R'!G:G," 2605")+ SUMIFS('RA120-R'!L:L,'RA120-R'!H:H,"1802",'RA120-R'!G:G," 2606")+ SUMIFS('RA120-R'!L:L,'RA120-R'!H:H,"1802",'RA120-R'!G:G," 2607")+ SUMIFS('RA120-R'!L:L,'RA120-R'!H:H,"1802",'RA120-R'!G:G," 2608")+ SUMIFS('RA120-R'!L:L,'RA120-R'!H:H,"1802",'RA120-R'!G:G," 2609")+ SUMIFS('RA120-R'!L:L,'RA120-R'!H:H,"1802",'RA120-R'!G:G," 2610")+ SUMIFS('RA120-R'!L:L,'RA120-R'!H:H,"1802",'RA120-R'!G:G," 2611")+ SUMIFS('RA120-R'!L:L,'RA120-R'!H:H,"1802",'RA120-R'!G:G," 2612")+ SUMIFS('RA120-R'!L:L,'RA120-R'!H:H,"1802",'RA120-R'!G:G," 2613")+ SUMIFS('RA120-R'!L:L,'RA120-R'!H:H,"1802",'RA120-R'!G:G," 2614")+ SUMIFS('RA120-R'!L:L,'RA120-R'!H:H,"1802",'RA120-R'!G:G," 2619")+ SUMIFS('RA120-R'!L:L,'RA120-R'!H:H,"1803",'RA120-R'!G:G," 2602")+ SUMIFS('RA120-R'!L:L,'RA120-R'!H:H,"1803",'RA120-R'!G:G," 2603")+ SUMIFS('RA120-R'!L:L,'RA120-R'!H:H,"1803",'RA120-R'!G:G," 2604")+ SUMIFS('RA120-R'!L:L,'RA120-R'!H:H,"1803",'RA120-R'!G:G," 2605")+ SUMIFS('RA120-R'!L:L,'RA120-R'!H:H,"1803",'RA120-R'!G:G," 2606")+ SUMIFS('RA120-R'!L:L,'RA120-R'!H:H,"1803",'RA120-R'!G:G," 2607")+ SUMIFS('RA120-R'!L:L,'RA120-R'!H:H,"1803",'RA120-R'!G:G," 2608")+ SUMIFS('RA120-R'!L:L,'RA120-R'!H:H,"1803",'RA120-R'!G:G," 2609")+ SUMIFS('RA120-R'!L:L,'RA120-R'!H:H,"1803",'RA120-R'!G:G," 2610")+ SUMIFS('RA120-R'!L:L,'RA120-R'!H:H,"1803",'RA120-R'!G:G," 2611")+ SUMIFS('RA120-R'!L:L,'RA120-R'!H:H,"1803",'RA120-R'!G:G," 2612")+ SUMIFS('RA120-R'!L:L,'RA120-R'!H:H,"1803",'RA120-R'!G:G," 2613")+ SUMIFS('RA120-R'!L:L,'RA120-R'!H:H,"1803",'RA120-R'!G:G," 2614")+ SUMIFS('RA120-R'!L:L,'RA120-R'!H:H,"1803",'RA120-R'!G:G," 2619")</f>
        <v>0</v>
      </c>
      <c r="F38" s="18">
        <f>SUMIFS('RA120-R'!M:M,'RA120-R'!H:H,"1802",'RA120-R'!G:G," 2602")+ SUMIFS('RA120-R'!M:M,'RA120-R'!H:H,"1802",'RA120-R'!G:G," 2603")+ SUMIFS('RA120-R'!M:M,'RA120-R'!H:H,"1802",'RA120-R'!G:G," 2604")+ SUMIFS('RA120-R'!M:M,'RA120-R'!H:H,"1802",'RA120-R'!G:G," 2605")+ SUMIFS('RA120-R'!M:M,'RA120-R'!H:H,"1802",'RA120-R'!G:G," 2606")+ SUMIFS('RA120-R'!M:M,'RA120-R'!H:H,"1802",'RA120-R'!G:G," 2607")+ SUMIFS('RA120-R'!M:M,'RA120-R'!H:H,"1802",'RA120-R'!G:G," 2608")+ SUMIFS('RA120-R'!M:M,'RA120-R'!H:H,"1802",'RA120-R'!G:G," 2609")+ SUMIFS('RA120-R'!M:M,'RA120-R'!H:H,"1802",'RA120-R'!G:G," 2610")+ SUMIFS('RA120-R'!M:M,'RA120-R'!H:H,"1802",'RA120-R'!G:G," 2611")+ SUMIFS('RA120-R'!M:M,'RA120-R'!H:H,"1802",'RA120-R'!G:G," 2612")+ SUMIFS('RA120-R'!M:M,'RA120-R'!H:H,"1802",'RA120-R'!G:G," 2613")+ SUMIFS('RA120-R'!M:M,'RA120-R'!H:H,"1802",'RA120-R'!G:G," 2614")+ SUMIFS('RA120-R'!M:M,'RA120-R'!H:H,"1802",'RA120-R'!G:G," 2619")+ SUMIFS('RA120-R'!M:M,'RA120-R'!H:H,"1803",'RA120-R'!G:G," 2602")+ SUMIFS('RA120-R'!M:M,'RA120-R'!H:H,"1803",'RA120-R'!G:G," 2603")+ SUMIFS('RA120-R'!M:M,'RA120-R'!H:H,"1803",'RA120-R'!G:G," 2604")+ SUMIFS('RA120-R'!M:M,'RA120-R'!H:H,"1803",'RA120-R'!G:G," 2605")+ SUMIFS('RA120-R'!M:M,'RA120-R'!H:H,"1803",'RA120-R'!G:G," 2606")+ SUMIFS('RA120-R'!M:M,'RA120-R'!H:H,"1803",'RA120-R'!G:G," 2607")+ SUMIFS('RA120-R'!M:M,'RA120-R'!H:H,"1803",'RA120-R'!G:G," 2608")+ SUMIFS('RA120-R'!M:M,'RA120-R'!H:H,"1803",'RA120-R'!G:G," 2609")+ SUMIFS('RA120-R'!M:M,'RA120-R'!H:H,"1803",'RA120-R'!G:G," 2610")+ SUMIFS('RA120-R'!M:M,'RA120-R'!H:H,"1803",'RA120-R'!G:G," 2611")+ SUMIFS('RA120-R'!M:M,'RA120-R'!H:H,"1803",'RA120-R'!G:G," 2612")+ SUMIFS('RA120-R'!M:M,'RA120-R'!H:H,"1803",'RA120-R'!G:G," 2613")+ SUMIFS('RA120-R'!M:M,'RA120-R'!H:H,"1803",'RA120-R'!G:G," 2614")+ SUMIFS('RA120-R'!M:M,'RA120-R'!H:H,"1803",'RA120-R'!G:G," 2619")</f>
        <v>0</v>
      </c>
      <c r="G38" s="18">
        <f t="shared" si="2"/>
        <v>0</v>
      </c>
      <c r="H38" s="51">
        <v>0</v>
      </c>
      <c r="I38" s="51">
        <v>0</v>
      </c>
      <c r="J38" s="51">
        <v>0</v>
      </c>
      <c r="K38" s="51">
        <v>0</v>
      </c>
      <c r="L38" s="2"/>
    </row>
    <row r="39" spans="2:12">
      <c r="B39" s="2"/>
      <c r="C39" s="35" t="s">
        <v>441</v>
      </c>
      <c r="D39" s="36"/>
      <c r="E39" s="18">
        <f>SUMIFS('RA120-R'!L:L,'RA120-R'!G:G,"2659",'RA120-R'!H:H,"1802")+SUMIFS('RA120-R'!L:L,'RA120-R'!G:G,"2659",'RA120-R'!H:H,"1803")</f>
        <v>0</v>
      </c>
      <c r="F39" s="18">
        <f>SUMIFS('RA120-R'!M:M,'RA120-R'!G:G,"2659",'RA120-R'!H:H,"1802")+SUMIFS('RA120-R'!M:M,'RA120-R'!G:G,"2659",'RA120-R'!H:H,"1803")</f>
        <v>0</v>
      </c>
      <c r="G39" s="18">
        <f t="shared" si="2"/>
        <v>0</v>
      </c>
      <c r="H39" s="51">
        <v>0</v>
      </c>
      <c r="I39" s="51">
        <v>0</v>
      </c>
      <c r="J39" s="51">
        <v>0</v>
      </c>
      <c r="K39" s="51">
        <v>0</v>
      </c>
      <c r="L39" s="2"/>
    </row>
    <row r="40" spans="2:12">
      <c r="B40" s="2"/>
      <c r="C40" s="35" t="s">
        <v>442</v>
      </c>
      <c r="D40" s="36"/>
      <c r="E40" s="18">
        <f>SUMIFS('RA120-R'!L:L,'RA120-R'!G:G, "2622",'RA120-R'!H:H,"1802")+ SUMIFS('RA120-R'!L:L,'RA120-R'!G:G, "2622",'RA120-R'!H:H,"1803")</f>
        <v>0</v>
      </c>
      <c r="F40" s="18">
        <f>SUMIFS('RA120-R'!M:M,'RA120-R'!G:G, "2622",'RA120-R'!H:H,"1802")+ SUMIFS('RA120-R'!M:M,'RA120-R'!G:G, "2622",'RA120-R'!H:H,"1803")</f>
        <v>0</v>
      </c>
      <c r="G40" s="18">
        <f t="shared" si="2"/>
        <v>0</v>
      </c>
      <c r="H40" s="51">
        <v>0</v>
      </c>
      <c r="I40" s="51">
        <v>0</v>
      </c>
      <c r="J40" s="51">
        <v>0</v>
      </c>
      <c r="K40" s="51">
        <v>0</v>
      </c>
      <c r="L40" s="2"/>
    </row>
    <row r="41" spans="2:12">
      <c r="B41" s="2"/>
      <c r="C41" s="35" t="s">
        <v>426</v>
      </c>
      <c r="D41" s="36"/>
      <c r="E41" s="18">
        <f>SUMIFS('RA120-R'!L:L,'RA120-R'!G:G,"2639",'RA120-R'!H:H,"1802")+ SUMIFS('RA120-R'!L:L,'RA120-R'!G:G,"2640",'RA120-R'!H:H,"1802")+ SUMIFS('RA120-R'!L:L,'RA120-R'!G:G,"2641",'RA120-R'!H:H,"1802")+ SUMIFS('RA120-R'!L:L,'RA120-R'!G:G,"2642",'RA120-R'!H:H,"1802")+ SUMIFS('RA120-R'!L:L,'RA120-R'!G:G,"2643",'RA120-R'!H:H,"1802")+ SUMIFS('RA120-R'!L:L,'RA120-R'!G:G,"2644",'RA120-R'!H:H,"1802")+ SUMIFS('RA120-R'!L:L,'RA120-R'!G:G,"2645",'RA120-R'!H:H,"1802")+ SUMIFS('RA120-R'!L:L,'RA120-R'!G:G,"2646",'RA120-R'!H:H,"1802")+ SUMIFS('RA120-R'!L:L,'RA120-R'!G:G,"2647",'RA120-R'!H:H,"1802")+ SUMIFS('RA120-R'!L:L,'RA120-R'!G:G,"2648",'RA120-R'!H:H,"1802")+ SUMIFS('RA120-R'!L:L,'RA120-R'!G:G,"2649",'RA120-R'!H:H,"1802")+ SUMIFS('RA120-R'!L:L,'RA120-R'!G:G,"2650",'RA120-R'!H:H,"1802")+ SUMIFS('RA120-R'!L:L,'RA120-R'!G:G,"2651",'RA120-R'!H:H,"1802")+ SUMIFS('RA120-R'!L:L,'RA120-R'!G:G,"2652",'RA120-R'!H:H,"1802")+ SUMIFS('RA120-R'!L:L,'RA120-R'!G:G,"2653",'RA120-R'!H:H,"1802")+ SUMIFS('RA120-R'!L:L,'RA120-R'!G:G,"2654",'RA120-R'!H:H,"1802")+ SUMIFS('RA120-R'!L:L,'RA120-R'!G:G,"2639",'RA120-R'!H:H,"1803")+ SUMIFS('RA120-R'!L:L,'RA120-R'!G:G,"2640",'RA120-R'!H:H,"1803")+ SUMIFS('RA120-R'!L:L,'RA120-R'!G:G,"2641",'RA120-R'!H:H,"1803")+ SUMIFS('RA120-R'!L:L,'RA120-R'!G:G,"2642",'RA120-R'!H:H,"1803")+ SUMIFS('RA120-R'!L:L,'RA120-R'!G:G,"2643",'RA120-R'!H:H,"1803")+ SUMIFS('RA120-R'!L:L,'RA120-R'!G:G,"2644",'RA120-R'!H:H,"1803")+ SUMIFS('RA120-R'!L:L,'RA120-R'!G:G,"2645",'RA120-R'!H:H,"1803")+ SUMIFS('RA120-R'!L:L,'RA120-R'!G:G,"2646",'RA120-R'!H:H,"1803")+ SUMIFS('RA120-R'!L:L,'RA120-R'!G:G,"2647",'RA120-R'!H:H,"1803")+ SUMIFS('RA120-R'!L:L,'RA120-R'!G:G,"2648",'RA120-R'!H:H,"1803")+ SUMIFS('RA120-R'!L:L,'RA120-R'!G:G,"2649",'RA120-R'!H:H,"1803")+ SUMIFS('RA120-R'!L:L,'RA120-R'!G:G,"2650",'RA120-R'!H:H,"1803")+ SUMIFS('RA120-R'!L:L,'RA120-R'!G:G,"2651",'RA120-R'!H:H,"1803")+ SUMIFS('RA120-R'!L:L,'RA120-R'!G:G,"2652",'RA120-R'!H:H,"1803")+ SUMIFS('RA120-R'!L:L,'RA120-R'!G:G,"2653",'RA120-R'!H:H,"1803")+ SUMIFS('RA120-R'!L:L,'RA120-R'!G:G,"2654",'RA120-R'!H:H,"1803")</f>
        <v>0</v>
      </c>
      <c r="F41" s="18">
        <f>SUMIFS('RA120-R'!M:M,'RA120-R'!G:G,"2639",'RA120-R'!H:H,"1802")+ SUMIFS('RA120-R'!M:M,'RA120-R'!G:G,"2640",'RA120-R'!H:H,"1802")+ SUMIFS('RA120-R'!M:M,'RA120-R'!G:G,"2641",'RA120-R'!H:H,"1802")+ SUMIFS('RA120-R'!M:M,'RA120-R'!G:G,"2642",'RA120-R'!H:H,"1802")+ SUMIFS('RA120-R'!M:M,'RA120-R'!G:G,"2643",'RA120-R'!H:H,"1802")+ SUMIFS('RA120-R'!M:M,'RA120-R'!G:G,"2644",'RA120-R'!H:H,"1802")+ SUMIFS('RA120-R'!M:M,'RA120-R'!G:G,"2645",'RA120-R'!H:H,"1802")+ SUMIFS('RA120-R'!M:M,'RA120-R'!G:G,"2646",'RA120-R'!H:H,"1802")+ SUMIFS('RA120-R'!M:M,'RA120-R'!G:G,"2647",'RA120-R'!H:H,"1802")+ SUMIFS('RA120-R'!M:M,'RA120-R'!G:G,"2648",'RA120-R'!H:H,"1802")+ SUMIFS('RA120-R'!M:M,'RA120-R'!G:G,"2649",'RA120-R'!H:H,"1802")+ SUMIFS('RA120-R'!M:M,'RA120-R'!G:G,"2650",'RA120-R'!H:H,"1802")+ SUMIFS('RA120-R'!M:M,'RA120-R'!G:G,"2651",'RA120-R'!H:H,"1802")+ SUMIFS('RA120-R'!M:M,'RA120-R'!G:G,"2652",'RA120-R'!H:H,"1802")+ SUMIFS('RA120-R'!M:M,'RA120-R'!G:G,"2653",'RA120-R'!H:H,"1802")+ SUMIFS('RA120-R'!M:M,'RA120-R'!G:G,"2654",'RA120-R'!H:H,"1802")+ SUMIFS('RA120-R'!M:M,'RA120-R'!G:G,"2639",'RA120-R'!H:H,"1803")+ SUMIFS('RA120-R'!M:M,'RA120-R'!G:G,"2640",'RA120-R'!H:H,"1803")+ SUMIFS('RA120-R'!M:M,'RA120-R'!G:G,"2641",'RA120-R'!H:H,"1803")+ SUMIFS('RA120-R'!M:M,'RA120-R'!G:G,"2642",'RA120-R'!H:H,"1803")+ SUMIFS('RA120-R'!M:M,'RA120-R'!G:G,"2643",'RA120-R'!H:H,"1803")+ SUMIFS('RA120-R'!M:M,'RA120-R'!G:G,"2644",'RA120-R'!H:H,"1803")+ SUMIFS('RA120-R'!M:M,'RA120-R'!G:G,"2645",'RA120-R'!H:H,"1803")+ SUMIFS('RA120-R'!M:M,'RA120-R'!G:G,"2646",'RA120-R'!H:H,"1803")+ SUMIFS('RA120-R'!M:M,'RA120-R'!G:G,"2647",'RA120-R'!H:H,"1803")+ SUMIFS('RA120-R'!M:M,'RA120-R'!G:G,"2648",'RA120-R'!H:H,"1803")+ SUMIFS('RA120-R'!M:M,'RA120-R'!G:G,"2649",'RA120-R'!H:H,"1803")+ SUMIFS('RA120-R'!M:M,'RA120-R'!G:G,"2650",'RA120-R'!H:H,"1803")+ SUMIFS('RA120-R'!M:M,'RA120-R'!G:G,"2651",'RA120-R'!H:H,"1803")+ SUMIFS('RA120-R'!M:M,'RA120-R'!G:G,"2652",'RA120-R'!H:H,"1803")+ SUMIFS('RA120-R'!M:M,'RA120-R'!G:G,"2653",'RA120-R'!H:H,"1803")+ SUMIFS('RA120-R'!M:M,'RA120-R'!G:G,"2654",'RA120-R'!H:H,"1803")</f>
        <v>0</v>
      </c>
      <c r="G41" s="18">
        <f t="shared" si="2"/>
        <v>0</v>
      </c>
      <c r="H41" s="51">
        <v>0</v>
      </c>
      <c r="I41" s="51">
        <v>0</v>
      </c>
      <c r="J41" s="51">
        <v>0</v>
      </c>
      <c r="K41" s="51">
        <v>0</v>
      </c>
      <c r="L41" s="2"/>
    </row>
    <row r="42" spans="2:12">
      <c r="B42" s="2"/>
      <c r="C42" s="35" t="s">
        <v>427</v>
      </c>
      <c r="D42" s="36"/>
      <c r="E42" s="18">
        <f>SUMIFS('RA120-R'!L:L,'RA120-R'!G:G, "2623",'RA120-R'!H:H,"1802")+ SUMIFS('RA120-R'!L:L,'RA120-R'!G:G, "2624",'RA120-R'!H:H,"1802")+ SUMIFS('RA120-R'!L:L,'RA120-R'!G:G, "2625",'RA120-R'!H:H,"1802")+ SUMIFS('RA120-R'!L:L,'RA120-R'!G:G, "2626",'RA120-R'!H:H,"1802")+ SUMIFS('RA120-R'!L:L,'RA120-R'!G:G, "2627",'RA120-R'!H:H,"1802")+ SUMIFS('RA120-R'!L:L,'RA120-R'!G:G, "2628",'RA120-R'!H:H,"1802")+ SUMIFS('RA120-R'!L:L,'RA120-R'!G:G, "2629",'RA120-R'!H:H,"1802")+ SUMIFS('RA120-R'!L:L,'RA120-R'!G:G, "2630",'RA120-R'!H:H,"1802")+ SUMIFS('RA120-R'!L:L,'RA120-R'!G:G, "2631",'RA120-R'!H:H,"1802")+ SUMIFS('RA120-R'!L:L,'RA120-R'!G:G, "2632",'RA120-R'!H:H,"1802")+ SUMIFS('RA120-R'!L:L,'RA120-R'!G:G, "2633",'RA120-R'!H:H,"1802")+ SUMIFS('RA120-R'!L:L,'RA120-R'!G:G, "2634",'RA120-R'!H:H,"1802")+ SUMIFS('RA120-R'!L:L,'RA120-R'!G:G, "2635",'RA120-R'!H:H,"1802")+ SUMIFS('RA120-R'!L:L,'RA120-R'!G:G, "2636",'RA120-R'!H:H,"1802")+ SUMIFS('RA120-R'!L:L,'RA120-R'!G:G, "2637",'RA120-R'!H:H,"1802")+ SUMIFS('RA120-R'!L:L,'RA120-R'!G:G, "2638",'RA120-R'!H:H,"1802")+SUMIFS('RA120-R'!L:L,'RA120-R'!G:G, "2623",'RA120-R'!H:H,"1803")+ SUMIFS('RA120-R'!L:L,'RA120-R'!G:G, "2624",'RA120-R'!H:H,"1803")+ SUMIFS('RA120-R'!L:L,'RA120-R'!G:G, "2625",'RA120-R'!H:H,"1803")+ SUMIFS('RA120-R'!L:L,'RA120-R'!G:G, "2626",'RA120-R'!H:H,"1803")+ SUMIFS('RA120-R'!L:L,'RA120-R'!G:G, "2627",'RA120-R'!H:H,"1803")+ SUMIFS('RA120-R'!L:L,'RA120-R'!G:G, "2628",'RA120-R'!H:H,"1803")+ SUMIFS('RA120-R'!L:L,'RA120-R'!G:G, "2629",'RA120-R'!H:H,"1803")+ SUMIFS('RA120-R'!L:L,'RA120-R'!G:G, "2630",'RA120-R'!H:H,"1803")+ SUMIFS('RA120-R'!L:L,'RA120-R'!G:G, "2631",'RA120-R'!H:H,"1803")+ SUMIFS('RA120-R'!L:L,'RA120-R'!G:G, "2632",'RA120-R'!H:H,"1803")+ SUMIFS('RA120-R'!L:L,'RA120-R'!G:G, "2633",'RA120-R'!H:H,"1803")+ SUMIFS('RA120-R'!L:L,'RA120-R'!G:G, "2634",'RA120-R'!H:H,"1803")+ SUMIFS('RA120-R'!L:L,'RA120-R'!G:G, "2635",'RA120-R'!H:H,"1803")+ SUMIFS('RA120-R'!L:L,'RA120-R'!G:G, "2636",'RA120-R'!H:H,"1803")+ SUMIFS('RA120-R'!L:L,'RA120-R'!G:G, "2637",'RA120-R'!H:H,"1803")+ SUMIFS('RA120-R'!L:L,'RA120-R'!G:G, "2638",'RA120-R'!H:H,"1803")</f>
        <v>0</v>
      </c>
      <c r="F42" s="18">
        <f>SUMIFS('RA120-R'!M:M,'RA120-R'!G:G, "2623",'RA120-R'!H:H,"1802")+ SUMIFS('RA120-R'!M:M,'RA120-R'!G:G, "2624",'RA120-R'!H:H,"1802")+ SUMIFS('RA120-R'!M:M,'RA120-R'!G:G, "2625",'RA120-R'!H:H,"1802")+ SUMIFS('RA120-R'!M:M,'RA120-R'!G:G, "2626",'RA120-R'!H:H,"1802")+ SUMIFS('RA120-R'!M:M,'RA120-R'!G:G, "2627",'RA120-R'!H:H,"1802")+ SUMIFS('RA120-R'!M:M,'RA120-R'!G:G, "2628",'RA120-R'!H:H,"1802")+ SUMIFS('RA120-R'!M:M,'RA120-R'!G:G, "2629",'RA120-R'!H:H,"1802")+ SUMIFS('RA120-R'!M:M,'RA120-R'!G:G, "2630",'RA120-R'!H:H,"1802")+ SUMIFS('RA120-R'!M:M,'RA120-R'!G:G, "2631",'RA120-R'!H:H,"1802")+ SUMIFS('RA120-R'!M:M,'RA120-R'!G:G, "2632",'RA120-R'!H:H,"1802")+ SUMIFS('RA120-R'!M:M,'RA120-R'!G:G, "2633",'RA120-R'!H:H,"1802")+ SUMIFS('RA120-R'!M:M,'RA120-R'!G:G, "2634",'RA120-R'!H:H,"1802")+ SUMIFS('RA120-R'!M:M,'RA120-R'!G:G, "2635",'RA120-R'!H:H,"1802")+ SUMIFS('RA120-R'!M:M,'RA120-R'!G:G, "2636",'RA120-R'!H:H,"1802")+ SUMIFS('RA120-R'!M:M,'RA120-R'!G:G, "2637",'RA120-R'!H:H,"1802")+ SUMIFS('RA120-R'!M:M,'RA120-R'!G:G, "2638",'RA120-R'!H:H,"1802")+SUMIFS('RA120-R'!M:M,'RA120-R'!G:G, "2623",'RA120-R'!H:H,"1803")+ SUMIFS('RA120-R'!M:M,'RA120-R'!G:G, "2624",'RA120-R'!H:H,"1803")+ SUMIFS('RA120-R'!M:M,'RA120-R'!G:G, "2625",'RA120-R'!H:H,"1803")+ SUMIFS('RA120-R'!M:M,'RA120-R'!G:G, "2626",'RA120-R'!H:H,"1803")+ SUMIFS('RA120-R'!M:M,'RA120-R'!G:G, "2627",'RA120-R'!H:H,"1803")+ SUMIFS('RA120-R'!M:M,'RA120-R'!G:G, "2628",'RA120-R'!H:H,"1803")+ SUMIFS('RA120-R'!M:M,'RA120-R'!G:G, "2629",'RA120-R'!H:H,"1803")+ SUMIFS('RA120-R'!M:M,'RA120-R'!G:G, "2630",'RA120-R'!H:H,"1803")+ SUMIFS('RA120-R'!M:M,'RA120-R'!G:G, "2631",'RA120-R'!H:H,"1803")+ SUMIFS('RA120-R'!M:M,'RA120-R'!G:G, "2632",'RA120-R'!H:H,"1803")+ SUMIFS('RA120-R'!M:M,'RA120-R'!G:G, "2633",'RA120-R'!H:H,"1803")+ SUMIFS('RA120-R'!M:M,'RA120-R'!G:G, "2634",'RA120-R'!H:H,"1803")+ SUMIFS('RA120-R'!M:M,'RA120-R'!G:G, "2635",'RA120-R'!H:H,"1803")+ SUMIFS('RA120-R'!M:M,'RA120-R'!G:G, "2636",'RA120-R'!H:H,"1803")+ SUMIFS('RA120-R'!M:M,'RA120-R'!G:G, "2637",'RA120-R'!H:H,"1803")+ SUMIFS('RA120-R'!M:M,'RA120-R'!G:G, "2638",'RA120-R'!H:H,"1803")</f>
        <v>0</v>
      </c>
      <c r="G42" s="18">
        <f t="shared" si="2"/>
        <v>0</v>
      </c>
      <c r="H42" s="51">
        <v>0</v>
      </c>
      <c r="I42" s="51">
        <v>0</v>
      </c>
      <c r="J42" s="51">
        <v>0</v>
      </c>
      <c r="K42" s="51">
        <v>0</v>
      </c>
      <c r="L42" s="2"/>
    </row>
    <row r="43" spans="2:12">
      <c r="B43" s="2"/>
      <c r="C43" s="35" t="s">
        <v>273</v>
      </c>
      <c r="D43" s="36"/>
      <c r="E43" s="51">
        <v>0</v>
      </c>
      <c r="F43" s="51">
        <v>0</v>
      </c>
      <c r="G43" s="18">
        <f t="shared" si="2"/>
        <v>0</v>
      </c>
      <c r="H43" s="51">
        <v>0</v>
      </c>
      <c r="I43" s="51">
        <v>0</v>
      </c>
      <c r="J43" s="51">
        <v>0</v>
      </c>
      <c r="K43" s="51">
        <v>0</v>
      </c>
      <c r="L43" s="2"/>
    </row>
    <row r="44" spans="2:12">
      <c r="B44" s="2"/>
      <c r="C44" s="35" t="s">
        <v>276</v>
      </c>
      <c r="D44" s="36"/>
      <c r="E44" s="18">
        <f>+SUMIF('RA130-R'!F:F,"1802",'RA130-R'!H:H)+SUMIF('RA130-R'!F:F,"1803",'RA130-R'!H:H)</f>
        <v>0</v>
      </c>
      <c r="F44" s="18">
        <f>0</f>
        <v>0</v>
      </c>
      <c r="G44" s="18">
        <f t="shared" si="2"/>
        <v>0</v>
      </c>
      <c r="H44" s="51">
        <v>0</v>
      </c>
      <c r="I44" s="51">
        <v>0</v>
      </c>
      <c r="J44" s="51">
        <v>0</v>
      </c>
      <c r="K44" s="18">
        <f>0</f>
        <v>0</v>
      </c>
      <c r="L44" s="2"/>
    </row>
    <row r="45" spans="2:12">
      <c r="B45" s="2"/>
      <c r="C45" s="37" t="s">
        <v>430</v>
      </c>
      <c r="D45" s="38"/>
      <c r="E45" s="18">
        <f t="shared" ref="E45:K45" si="3">SUM(E37:E44)</f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8">
        <f t="shared" si="3"/>
        <v>0</v>
      </c>
      <c r="J45" s="18">
        <f t="shared" si="3"/>
        <v>0</v>
      </c>
      <c r="K45" s="18">
        <f t="shared" si="3"/>
        <v>0</v>
      </c>
      <c r="L45" s="2"/>
    </row>
    <row r="46" spans="2:12">
      <c r="B46" s="2"/>
      <c r="C46" s="37" t="s">
        <v>431</v>
      </c>
      <c r="D46" s="38"/>
      <c r="E46" s="18">
        <f t="shared" ref="E46:K46" si="4">E35+E45</f>
        <v>0</v>
      </c>
      <c r="F46" s="18">
        <f t="shared" si="4"/>
        <v>0</v>
      </c>
      <c r="G46" s="18">
        <f t="shared" si="4"/>
        <v>0</v>
      </c>
      <c r="H46" s="18">
        <f t="shared" si="4"/>
        <v>0</v>
      </c>
      <c r="I46" s="18">
        <f t="shared" si="4"/>
        <v>0</v>
      </c>
      <c r="J46" s="18">
        <f t="shared" si="4"/>
        <v>0</v>
      </c>
      <c r="K46" s="18">
        <f t="shared" si="4"/>
        <v>0</v>
      </c>
      <c r="L46" s="2"/>
    </row>
    <row r="47" spans="2: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5.0999999999999996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sheetProtection sheet="1" formatColumns="0" formatRows="0" selectLockedCells="1"/>
  <mergeCells count="148">
    <mergeCell ref="C7:K7"/>
    <mergeCell ref="C9:K9"/>
    <mergeCell ref="C10:K10"/>
    <mergeCell ref="C11:K11"/>
    <mergeCell ref="C13:K13"/>
    <mergeCell ref="C18:D18"/>
    <mergeCell ref="H18"/>
    <mergeCell ref="I18"/>
    <mergeCell ref="J18"/>
    <mergeCell ref="K18"/>
    <mergeCell ref="I14:I15"/>
    <mergeCell ref="J14:J15"/>
    <mergeCell ref="K14:K15"/>
    <mergeCell ref="C16:D16"/>
    <mergeCell ref="C17:D17"/>
    <mergeCell ref="H17"/>
    <mergeCell ref="I17"/>
    <mergeCell ref="J17"/>
    <mergeCell ref="K17"/>
    <mergeCell ref="C14:D15"/>
    <mergeCell ref="E14:E15"/>
    <mergeCell ref="F14:F15"/>
    <mergeCell ref="G14:G15"/>
    <mergeCell ref="H14:H15"/>
    <mergeCell ref="C20:D20"/>
    <mergeCell ref="H20"/>
    <mergeCell ref="I20"/>
    <mergeCell ref="J20"/>
    <mergeCell ref="K20"/>
    <mergeCell ref="C19:D19"/>
    <mergeCell ref="H19"/>
    <mergeCell ref="I19"/>
    <mergeCell ref="J19"/>
    <mergeCell ref="K19"/>
    <mergeCell ref="C22:D22"/>
    <mergeCell ref="H22"/>
    <mergeCell ref="I22"/>
    <mergeCell ref="J22"/>
    <mergeCell ref="K22"/>
    <mergeCell ref="C21:D21"/>
    <mergeCell ref="H21"/>
    <mergeCell ref="I21"/>
    <mergeCell ref="J21"/>
    <mergeCell ref="K21"/>
    <mergeCell ref="C24:D24"/>
    <mergeCell ref="H24"/>
    <mergeCell ref="I24"/>
    <mergeCell ref="J24"/>
    <mergeCell ref="K24"/>
    <mergeCell ref="C23:D23"/>
    <mergeCell ref="H23"/>
    <mergeCell ref="I23"/>
    <mergeCell ref="J23"/>
    <mergeCell ref="K23"/>
    <mergeCell ref="C26:D26"/>
    <mergeCell ref="H26"/>
    <mergeCell ref="I26"/>
    <mergeCell ref="J26"/>
    <mergeCell ref="K26"/>
    <mergeCell ref="C25:D25"/>
    <mergeCell ref="H25"/>
    <mergeCell ref="I25"/>
    <mergeCell ref="J25"/>
    <mergeCell ref="K25"/>
    <mergeCell ref="C28:D28"/>
    <mergeCell ref="H28"/>
    <mergeCell ref="I28"/>
    <mergeCell ref="J28"/>
    <mergeCell ref="K28"/>
    <mergeCell ref="C27:D27"/>
    <mergeCell ref="H27"/>
    <mergeCell ref="I27"/>
    <mergeCell ref="J27"/>
    <mergeCell ref="K27"/>
    <mergeCell ref="C30:D30"/>
    <mergeCell ref="H30"/>
    <mergeCell ref="I30"/>
    <mergeCell ref="J30"/>
    <mergeCell ref="K30"/>
    <mergeCell ref="C29:D29"/>
    <mergeCell ref="H29"/>
    <mergeCell ref="I29"/>
    <mergeCell ref="J29"/>
    <mergeCell ref="K29"/>
    <mergeCell ref="K33"/>
    <mergeCell ref="C32:D32"/>
    <mergeCell ref="H32"/>
    <mergeCell ref="I32"/>
    <mergeCell ref="J32"/>
    <mergeCell ref="K32"/>
    <mergeCell ref="C31:D31"/>
    <mergeCell ref="H31"/>
    <mergeCell ref="I31"/>
    <mergeCell ref="J31"/>
    <mergeCell ref="K31"/>
    <mergeCell ref="C34:D34"/>
    <mergeCell ref="H34"/>
    <mergeCell ref="I34"/>
    <mergeCell ref="J34"/>
    <mergeCell ref="C35:D35"/>
    <mergeCell ref="C33:D33"/>
    <mergeCell ref="H33"/>
    <mergeCell ref="I33"/>
    <mergeCell ref="J33"/>
    <mergeCell ref="K37"/>
    <mergeCell ref="C38:D38"/>
    <mergeCell ref="H38"/>
    <mergeCell ref="I38"/>
    <mergeCell ref="J38"/>
    <mergeCell ref="K38"/>
    <mergeCell ref="C36:D36"/>
    <mergeCell ref="C37:D37"/>
    <mergeCell ref="H37"/>
    <mergeCell ref="I37"/>
    <mergeCell ref="J37"/>
    <mergeCell ref="C40:D40"/>
    <mergeCell ref="H40"/>
    <mergeCell ref="I40"/>
    <mergeCell ref="J40"/>
    <mergeCell ref="K40"/>
    <mergeCell ref="C39:D39"/>
    <mergeCell ref="H39"/>
    <mergeCell ref="I39"/>
    <mergeCell ref="J39"/>
    <mergeCell ref="K39"/>
    <mergeCell ref="C42:D42"/>
    <mergeCell ref="H42"/>
    <mergeCell ref="I42"/>
    <mergeCell ref="J42"/>
    <mergeCell ref="K42"/>
    <mergeCell ref="C41:D41"/>
    <mergeCell ref="H41"/>
    <mergeCell ref="I41"/>
    <mergeCell ref="J41"/>
    <mergeCell ref="K41"/>
    <mergeCell ref="C45:D45"/>
    <mergeCell ref="C46:D46"/>
    <mergeCell ref="J43"/>
    <mergeCell ref="K43"/>
    <mergeCell ref="C44:D44"/>
    <mergeCell ref="H44"/>
    <mergeCell ref="I44"/>
    <mergeCell ref="J44"/>
    <mergeCell ref="C43:D43"/>
    <mergeCell ref="E43"/>
    <mergeCell ref="F43"/>
    <mergeCell ref="H43"/>
    <mergeCell ref="I43"/>
  </mergeCells>
  <dataValidations count="104"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443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438</v>
      </c>
      <c r="D9" s="46"/>
      <c r="E9" s="46"/>
      <c r="F9" s="46"/>
      <c r="G9" s="46"/>
      <c r="H9" s="2"/>
    </row>
    <row r="10" spans="2:8">
      <c r="B10" s="2"/>
      <c r="C10" s="46" t="s">
        <v>444</v>
      </c>
      <c r="D10" s="46"/>
      <c r="E10" s="46"/>
      <c r="F10" s="46"/>
      <c r="G10" s="46"/>
      <c r="H10" s="2"/>
    </row>
    <row r="11" spans="2: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 t="s">
        <v>232</v>
      </c>
      <c r="D13" s="48"/>
      <c r="E13" s="48"/>
      <c r="F13" s="48"/>
      <c r="G13" s="48"/>
      <c r="H13" s="2"/>
    </row>
    <row r="14" spans="2:8">
      <c r="B14" s="2"/>
      <c r="C14" s="40" t="s">
        <v>236</v>
      </c>
      <c r="D14" s="38"/>
      <c r="E14" s="43" t="str">
        <f>"Saldo Buku Besar (SAK)"</f>
        <v>Saldo Buku Besar (SAK)</v>
      </c>
      <c r="F14" s="43" t="str">
        <f>"Penilaian Berdasarkan SAP"</f>
        <v>Penilaian Berdasarkan SAP</v>
      </c>
      <c r="G14" s="43" t="str">
        <f>"Selisih Penilaian SAK dan SAP"</f>
        <v>Selisih Penilaian SAK dan SAP</v>
      </c>
      <c r="H14" s="2"/>
    </row>
    <row r="15" spans="2:8">
      <c r="B15" s="2"/>
      <c r="C15" s="41"/>
      <c r="D15" s="42"/>
      <c r="E15" s="44"/>
      <c r="F15" s="44"/>
      <c r="G15" s="44"/>
      <c r="H15" s="2"/>
    </row>
    <row r="16" spans="2:8">
      <c r="B16" s="2"/>
      <c r="C16" s="37" t="s">
        <v>445</v>
      </c>
      <c r="D16" s="38"/>
      <c r="E16" s="51">
        <v>0</v>
      </c>
      <c r="F16" s="51">
        <v>0</v>
      </c>
      <c r="G16" s="18">
        <f>E16-F16</f>
        <v>0</v>
      </c>
      <c r="H16" s="2"/>
    </row>
    <row r="17" spans="2:8">
      <c r="B17" s="2"/>
      <c r="C17" s="37" t="s">
        <v>446</v>
      </c>
      <c r="D17" s="38"/>
      <c r="E17" s="51">
        <v>0</v>
      </c>
      <c r="F17" s="51">
        <v>0</v>
      </c>
      <c r="G17" s="18">
        <f>E17-F17</f>
        <v>0</v>
      </c>
      <c r="H17" s="2"/>
    </row>
    <row r="18" spans="2:8">
      <c r="B18" s="2"/>
      <c r="C18" s="37" t="s">
        <v>447</v>
      </c>
      <c r="D18" s="38"/>
      <c r="E18" s="51">
        <v>0</v>
      </c>
      <c r="F18" s="51">
        <v>0</v>
      </c>
      <c r="G18" s="18">
        <f>E18-F18</f>
        <v>0</v>
      </c>
      <c r="H18" s="2"/>
    </row>
    <row r="19" spans="2:8">
      <c r="B19" s="2"/>
      <c r="C19" s="37" t="s">
        <v>448</v>
      </c>
      <c r="D19" s="38"/>
      <c r="E19" s="51">
        <v>0</v>
      </c>
      <c r="F19" s="51">
        <v>0</v>
      </c>
      <c r="G19" s="18">
        <f>E19-F19</f>
        <v>0</v>
      </c>
      <c r="H19" s="2"/>
    </row>
    <row r="20" spans="2:8">
      <c r="B20" s="2"/>
      <c r="C20" s="37" t="s">
        <v>449</v>
      </c>
      <c r="D20" s="38"/>
      <c r="E20" s="51">
        <v>0</v>
      </c>
      <c r="F20" s="51">
        <v>0</v>
      </c>
      <c r="G20" s="18">
        <f>E20-F20</f>
        <v>0</v>
      </c>
      <c r="H20" s="2"/>
    </row>
    <row r="21" spans="2:8">
      <c r="B21" s="2"/>
      <c r="C21" s="37" t="s">
        <v>450</v>
      </c>
      <c r="D21" s="38"/>
      <c r="E21" s="18">
        <f>SUM(E16:E20)</f>
        <v>0</v>
      </c>
      <c r="F21" s="18">
        <f>SUM(F16:F20)</f>
        <v>0</v>
      </c>
      <c r="G21" s="18">
        <f>SUM(G16:G20)</f>
        <v>0</v>
      </c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 ht="5.0999999999999996" customHeight="1">
      <c r="B23" s="2"/>
      <c r="C23" s="2"/>
      <c r="D23" s="2"/>
      <c r="E23" s="2"/>
      <c r="F23" s="2"/>
      <c r="G23" s="2"/>
      <c r="H23" s="2"/>
    </row>
  </sheetData>
  <sheetProtection sheet="1" formatColumns="0" formatRows="0" selectLockedCells="1"/>
  <mergeCells count="25">
    <mergeCell ref="C7:G7"/>
    <mergeCell ref="C9:G9"/>
    <mergeCell ref="C10:G10"/>
    <mergeCell ref="C11:G11"/>
    <mergeCell ref="C13:G13"/>
    <mergeCell ref="C14:D15"/>
    <mergeCell ref="E14:E15"/>
    <mergeCell ref="F14:F15"/>
    <mergeCell ref="G14:G15"/>
    <mergeCell ref="C16:D16"/>
    <mergeCell ref="E16"/>
    <mergeCell ref="F16"/>
    <mergeCell ref="C17:D17"/>
    <mergeCell ref="E17"/>
    <mergeCell ref="F17"/>
    <mergeCell ref="C18:D18"/>
    <mergeCell ref="E18"/>
    <mergeCell ref="F18"/>
    <mergeCell ref="C21:D21"/>
    <mergeCell ref="C19:D19"/>
    <mergeCell ref="E19"/>
    <mergeCell ref="F19"/>
    <mergeCell ref="C20:D20"/>
    <mergeCell ref="E20"/>
    <mergeCell ref="F20"/>
  </mergeCells>
  <dataValidations count="1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workbookViewId="0"/>
  </sheetViews>
  <sheetFormatPr defaultRowHeight="15"/>
  <cols>
    <col min="1" max="1" width="9.140625" style="1" customWidth="1"/>
    <col min="2" max="2" width="1" style="1" customWidth="1"/>
    <col min="3" max="3" width="50" style="1" customWidth="1"/>
    <col min="4" max="5" width="25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2"/>
      <c r="C2" s="2"/>
      <c r="D2" s="2"/>
      <c r="E2" s="2"/>
      <c r="F2" s="2"/>
    </row>
    <row r="3" spans="2:6" hidden="1">
      <c r="B3" s="2"/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5.75">
      <c r="B7" s="2"/>
      <c r="C7" s="10" t="s">
        <v>31</v>
      </c>
      <c r="D7" s="2"/>
      <c r="E7" s="2"/>
      <c r="F7" s="2"/>
    </row>
    <row r="8" spans="2:6">
      <c r="B8" s="2"/>
      <c r="C8" s="2"/>
      <c r="D8" s="2"/>
      <c r="E8" s="2"/>
      <c r="F8" s="2"/>
    </row>
    <row r="9" spans="2:6" ht="17.25">
      <c r="B9" s="2"/>
      <c r="C9" s="11" t="s">
        <v>32</v>
      </c>
      <c r="D9" s="2"/>
      <c r="E9" s="2"/>
      <c r="F9" s="2"/>
    </row>
    <row r="10" spans="2:6" ht="15.75">
      <c r="B10" s="2"/>
      <c r="C10" s="10" t="s">
        <v>33</v>
      </c>
      <c r="D10" s="2"/>
      <c r="E10" s="2"/>
      <c r="F10" s="2"/>
    </row>
    <row r="11" spans="2:6" ht="15.75">
      <c r="B11" s="2"/>
      <c r="C11" s="10" t="s">
        <v>34</v>
      </c>
      <c r="D11" s="2"/>
      <c r="E11" s="2"/>
      <c r="F11" s="2"/>
    </row>
    <row r="12" spans="2:6" ht="15.75" hidden="1">
      <c r="B12" s="2"/>
      <c r="C12" s="10" t="s">
        <v>35</v>
      </c>
      <c r="D12" s="2"/>
      <c r="E12" s="2"/>
      <c r="F12" s="2"/>
    </row>
    <row r="13" spans="2:6" ht="15.75">
      <c r="B13" s="2"/>
      <c r="C13" s="10" t="s">
        <v>36</v>
      </c>
      <c r="D13" s="2"/>
      <c r="E13" s="2"/>
      <c r="F13" s="2"/>
    </row>
    <row r="14" spans="2:6">
      <c r="B14" s="2"/>
      <c r="C14" s="2"/>
      <c r="D14" s="2"/>
      <c r="E14" s="2"/>
      <c r="F14" s="2"/>
    </row>
    <row r="15" spans="2:6">
      <c r="B15" s="2"/>
      <c r="C15" s="2"/>
      <c r="D15" s="2"/>
      <c r="E15" s="2"/>
      <c r="F15" s="2"/>
    </row>
    <row r="16" spans="2:6">
      <c r="B16" s="2"/>
      <c r="C16" s="2"/>
      <c r="D16" s="2"/>
      <c r="E16" s="2"/>
      <c r="F16" s="2"/>
    </row>
    <row r="17" spans="2:6">
      <c r="B17" s="2"/>
      <c r="C17" s="2"/>
      <c r="D17" s="2"/>
      <c r="E17" s="2"/>
      <c r="F17" s="2"/>
    </row>
    <row r="18" spans="2:6">
      <c r="B18" s="2"/>
      <c r="C18" s="2"/>
      <c r="D18" s="2"/>
      <c r="E18" s="2"/>
      <c r="F18" s="2"/>
    </row>
    <row r="19" spans="2:6">
      <c r="B19" s="2"/>
      <c r="C19" s="2"/>
      <c r="D19" s="2"/>
      <c r="E19" s="2"/>
      <c r="F19" s="2"/>
    </row>
    <row r="20" spans="2:6" ht="26.25">
      <c r="B20" s="2"/>
      <c r="C20" s="29" t="s">
        <v>37</v>
      </c>
      <c r="D20" s="29"/>
      <c r="E20" s="29"/>
      <c r="F20" s="2"/>
    </row>
    <row r="21" spans="2:6" ht="21">
      <c r="B21" s="2"/>
      <c r="C21" s="30" t="s">
        <v>38</v>
      </c>
      <c r="D21" s="30"/>
      <c r="E21" s="30"/>
      <c r="F21" s="2"/>
    </row>
    <row r="22" spans="2:6" ht="18.75">
      <c r="B22" s="2"/>
      <c r="C22" s="31" t="str">
        <f>" "</f>
        <v xml:space="preserve"> </v>
      </c>
      <c r="D22" s="31"/>
      <c r="E22" s="31"/>
      <c r="F22" s="2"/>
    </row>
    <row r="23" spans="2:6">
      <c r="B23" s="2"/>
      <c r="C23" s="2"/>
      <c r="D23" s="2"/>
      <c r="E23" s="2"/>
      <c r="F23" s="2"/>
    </row>
    <row r="24" spans="2:6">
      <c r="B24" s="2"/>
      <c r="C24" s="2"/>
      <c r="D24" s="2"/>
      <c r="E24" s="2"/>
      <c r="F24" s="2"/>
    </row>
    <row r="25" spans="2:6">
      <c r="B25" s="2"/>
      <c r="C25" s="2"/>
      <c r="D25" s="2"/>
      <c r="E25" s="2"/>
      <c r="F25" s="2"/>
    </row>
    <row r="26" spans="2:6">
      <c r="B26" s="2"/>
      <c r="C26" s="2"/>
      <c r="D26" s="2"/>
      <c r="E26" s="2"/>
      <c r="F26" s="2"/>
    </row>
    <row r="27" spans="2:6">
      <c r="B27" s="2"/>
      <c r="C27" s="2"/>
      <c r="D27" s="2"/>
      <c r="E27" s="2"/>
      <c r="F27" s="2"/>
    </row>
    <row r="28" spans="2:6">
      <c r="B28" s="2"/>
      <c r="C28" s="2"/>
      <c r="D28" s="2"/>
      <c r="E28" s="2"/>
      <c r="F28" s="2"/>
    </row>
    <row r="29" spans="2:6">
      <c r="B29" s="2"/>
      <c r="C29" s="2"/>
      <c r="D29" s="2"/>
      <c r="E29" s="2"/>
      <c r="F29" s="2"/>
    </row>
    <row r="30" spans="2:6" ht="15.75">
      <c r="B30" s="2"/>
      <c r="C30" s="28" t="str">
        <f xml:space="preserve"> UPPER('Data Umum'!D7)</f>
        <v/>
      </c>
      <c r="D30" s="28"/>
      <c r="E30" s="28"/>
      <c r="F30" s="2"/>
    </row>
    <row r="31" spans="2:6" ht="15.75">
      <c r="B31" s="2"/>
      <c r="C31" s="28" t="str">
        <f>IF('Data Umum'!D8=0, "", 'Data Umum'!D8)</f>
        <v/>
      </c>
      <c r="D31" s="28"/>
      <c r="E31" s="28"/>
      <c r="F31" s="2"/>
    </row>
    <row r="32" spans="2:6" ht="15.75">
      <c r="B32" s="2"/>
      <c r="C32" s="28" t="str">
        <f>IF('Data Umum'!D9=0, "", 'Data Umum'!D9)</f>
        <v/>
      </c>
      <c r="D32" s="28"/>
      <c r="E32" s="28"/>
      <c r="F32" s="2"/>
    </row>
    <row r="33" spans="2:6" ht="15.75">
      <c r="B33" s="2"/>
      <c r="C33" s="28" t="str">
        <f>IF('Data Umum'!D10=0, "", 'Data Umum'!D10)</f>
        <v/>
      </c>
      <c r="D33" s="28"/>
      <c r="E33" s="28"/>
      <c r="F33" s="2"/>
    </row>
    <row r="34" spans="2:6">
      <c r="B34" s="2"/>
      <c r="C34" s="2"/>
      <c r="D34" s="2"/>
      <c r="E34" s="2"/>
      <c r="F34" s="2"/>
    </row>
    <row r="35" spans="2:6">
      <c r="B35" s="2"/>
      <c r="C35" s="2"/>
      <c r="D35" s="2"/>
      <c r="E35" s="2"/>
      <c r="F35" s="2"/>
    </row>
    <row r="36" spans="2:6">
      <c r="B36" s="2"/>
      <c r="C36" s="2"/>
      <c r="D36" s="2"/>
      <c r="E36" s="2"/>
      <c r="F36" s="2"/>
    </row>
    <row r="37" spans="2:6">
      <c r="B37" s="2"/>
      <c r="C37" s="2"/>
      <c r="D37" s="2"/>
      <c r="E37" s="2"/>
      <c r="F37" s="2"/>
    </row>
    <row r="38" spans="2:6">
      <c r="B38" s="2"/>
      <c r="C38" s="2"/>
      <c r="D38" s="2"/>
      <c r="E38" s="2"/>
      <c r="F38" s="2"/>
    </row>
    <row r="39" spans="2:6">
      <c r="B39" s="2"/>
      <c r="C39" s="2"/>
      <c r="D39" s="2"/>
      <c r="E39" s="2"/>
      <c r="F39" s="2"/>
    </row>
    <row r="40" spans="2:6">
      <c r="B40" s="2"/>
      <c r="C40" s="2"/>
      <c r="D40" s="2"/>
      <c r="E40" s="2"/>
      <c r="F40" s="2"/>
    </row>
    <row r="41" spans="2:6">
      <c r="B41" s="2"/>
      <c r="C41" s="2"/>
      <c r="D41" s="2"/>
      <c r="E41" s="2"/>
      <c r="F41" s="2"/>
    </row>
    <row r="42" spans="2:6">
      <c r="B42" s="2"/>
      <c r="C42" s="2"/>
      <c r="D42" s="2"/>
      <c r="E42" s="2"/>
      <c r="F42" s="2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2"/>
      <c r="C45" s="2"/>
      <c r="D45" s="2"/>
      <c r="E45" s="2"/>
      <c r="F45" s="2"/>
    </row>
    <row r="46" spans="2:6">
      <c r="B46" s="2"/>
      <c r="C46" s="2"/>
      <c r="D46" s="2"/>
      <c r="E46" s="2"/>
      <c r="F46" s="2"/>
    </row>
    <row r="47" spans="2:6">
      <c r="B47" s="2"/>
      <c r="C47" s="2"/>
      <c r="D47" s="2"/>
      <c r="E47" s="2"/>
      <c r="F47" s="2"/>
    </row>
    <row r="48" spans="2:6">
      <c r="B48" s="2"/>
      <c r="C48" s="2"/>
      <c r="D48" s="2"/>
      <c r="E48" s="2"/>
      <c r="F48" s="2"/>
    </row>
    <row r="49" spans="2:6" ht="5.0999999999999996" customHeight="1">
      <c r="B49" s="2"/>
      <c r="C49" s="2"/>
      <c r="D49" s="2"/>
      <c r="E49" s="2"/>
      <c r="F49" s="2"/>
    </row>
  </sheetData>
  <sheetProtection sheet="1" formatColumns="0" formatRows="0" selectLockedCells="1"/>
  <mergeCells count="7">
    <mergeCell ref="C32:E32"/>
    <mergeCell ref="C33:E33"/>
    <mergeCell ref="C20:E20"/>
    <mergeCell ref="C21:E21"/>
    <mergeCell ref="C22:E22"/>
    <mergeCell ref="C30:E30"/>
    <mergeCell ref="C31:E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77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45" t="str">
        <f>UPPER('Data Umum'!D7)</f>
        <v/>
      </c>
      <c r="D7" s="45"/>
      <c r="E7" s="45"/>
      <c r="F7" s="45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46" t="s">
        <v>451</v>
      </c>
      <c r="D9" s="46"/>
      <c r="E9" s="46"/>
      <c r="F9" s="46"/>
      <c r="G9" s="2"/>
    </row>
    <row r="10" spans="2:7">
      <c r="B10" s="2"/>
      <c r="C10" s="46" t="s">
        <v>452</v>
      </c>
      <c r="D10" s="46"/>
      <c r="E10" s="46"/>
      <c r="F10" s="46"/>
      <c r="G10" s="2"/>
    </row>
    <row r="11" spans="2:7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48" t="s">
        <v>232</v>
      </c>
      <c r="D13" s="48"/>
      <c r="E13" s="48"/>
      <c r="F13" s="48"/>
      <c r="G13" s="2"/>
    </row>
    <row r="14" spans="2:7">
      <c r="B14" s="2"/>
      <c r="C14" s="40" t="s">
        <v>236</v>
      </c>
      <c r="D14" s="38"/>
      <c r="E14" s="43" t="str">
        <f>"Dana Tabarru'"</f>
        <v>Dana Tabarru'</v>
      </c>
      <c r="F14" s="43" t="str">
        <f>"Dana Perusahaan"</f>
        <v>Dana Perusahaan</v>
      </c>
      <c r="G14" s="2"/>
    </row>
    <row r="15" spans="2:7">
      <c r="B15" s="2"/>
      <c r="C15" s="41"/>
      <c r="D15" s="42"/>
      <c r="E15" s="44"/>
      <c r="F15" s="44"/>
      <c r="G15" s="2"/>
    </row>
    <row r="16" spans="2:7">
      <c r="B16" s="2"/>
      <c r="C16" s="37" t="s">
        <v>453</v>
      </c>
      <c r="D16" s="38"/>
      <c r="E16" s="18">
        <f>E17-E18</f>
        <v>0</v>
      </c>
      <c r="F16" s="18">
        <f>F17-F18</f>
        <v>0</v>
      </c>
      <c r="G16" s="2"/>
    </row>
    <row r="17" spans="2:7">
      <c r="B17" s="2"/>
      <c r="C17" s="35" t="s">
        <v>454</v>
      </c>
      <c r="D17" s="36"/>
      <c r="E17" s="18">
        <f>+'LPKRE-SY'!H16</f>
        <v>0</v>
      </c>
      <c r="F17" s="18">
        <f>+'LPKRE-SY'!F16</f>
        <v>0</v>
      </c>
      <c r="G17" s="2"/>
    </row>
    <row r="18" spans="2:7">
      <c r="B18" s="2"/>
      <c r="C18" s="35" t="s">
        <v>455</v>
      </c>
      <c r="D18" s="36"/>
      <c r="E18" s="18">
        <f>+'LPKRE-SY'!H47</f>
        <v>0</v>
      </c>
      <c r="F18" s="18">
        <f>+'LPKRE-SY'!F47</f>
        <v>0</v>
      </c>
      <c r="G18" s="2"/>
    </row>
    <row r="19" spans="2:7">
      <c r="B19" s="2"/>
      <c r="C19" s="37" t="s">
        <v>456</v>
      </c>
      <c r="D19" s="38"/>
      <c r="E19" s="18">
        <f>SUM(E20:E24)+E25</f>
        <v>0</v>
      </c>
      <c r="F19" s="18">
        <f>SUM(F20:F24)+F25</f>
        <v>0</v>
      </c>
      <c r="G19" s="2"/>
    </row>
    <row r="20" spans="2:7">
      <c r="B20" s="2"/>
      <c r="C20" s="35" t="s">
        <v>457</v>
      </c>
      <c r="D20" s="36"/>
      <c r="E20" s="18">
        <f>+'RKUS-RE'!E18</f>
        <v>0</v>
      </c>
      <c r="F20" s="18">
        <f>+'RKUS-RE'!F18</f>
        <v>0</v>
      </c>
      <c r="G20" s="2"/>
    </row>
    <row r="21" spans="2:7">
      <c r="B21" s="2"/>
      <c r="C21" s="35" t="s">
        <v>458</v>
      </c>
      <c r="D21" s="36"/>
      <c r="E21" s="18">
        <f>RKLRES!P71</f>
        <v>0</v>
      </c>
      <c r="F21" s="18">
        <f>RKLRES!J71</f>
        <v>0</v>
      </c>
      <c r="G21" s="2"/>
    </row>
    <row r="22" spans="2:7">
      <c r="B22" s="2"/>
      <c r="C22" s="35" t="s">
        <v>459</v>
      </c>
      <c r="D22" s="36"/>
      <c r="E22" s="18">
        <f>'RPSYA-R'!F19</f>
        <v>0</v>
      </c>
      <c r="F22" s="18">
        <f>'RPSYA-R'!E19</f>
        <v>0</v>
      </c>
      <c r="G22" s="2"/>
    </row>
    <row r="23" spans="2:7">
      <c r="B23" s="2"/>
      <c r="C23" s="35" t="s">
        <v>460</v>
      </c>
      <c r="D23" s="36"/>
      <c r="E23" s="18">
        <f>'RSAS-R'!E20</f>
        <v>0</v>
      </c>
      <c r="F23" s="21">
        <f>0</f>
        <v>0</v>
      </c>
      <c r="G23" s="2"/>
    </row>
    <row r="24" spans="2:7">
      <c r="B24" s="2"/>
      <c r="C24" s="35" t="s">
        <v>461</v>
      </c>
      <c r="D24" s="36"/>
      <c r="E24" s="18">
        <f>'RSOS-R'!E29</f>
        <v>0</v>
      </c>
      <c r="F24" s="18">
        <f>'RSOS-R'!F29</f>
        <v>0</v>
      </c>
      <c r="G24" s="2"/>
    </row>
    <row r="25" spans="2:7">
      <c r="B25" s="2"/>
      <c r="C25" s="35" t="s">
        <v>462</v>
      </c>
      <c r="D25" s="36"/>
      <c r="E25" s="21">
        <f>0</f>
        <v>0</v>
      </c>
      <c r="F25" s="18">
        <f>MAX(0,1.2*(F26+F31-F30))</f>
        <v>0</v>
      </c>
      <c r="G25" s="2"/>
    </row>
    <row r="26" spans="2:7">
      <c r="B26" s="2"/>
      <c r="C26" s="32" t="s">
        <v>463</v>
      </c>
      <c r="D26" s="33"/>
      <c r="E26" s="21">
        <f>0</f>
        <v>0</v>
      </c>
      <c r="F26" s="18">
        <f>SUM(F27:F29)</f>
        <v>0</v>
      </c>
      <c r="G26" s="2"/>
    </row>
    <row r="27" spans="2:7">
      <c r="B27" s="2"/>
      <c r="C27" s="55" t="s">
        <v>464</v>
      </c>
      <c r="D27" s="56"/>
      <c r="E27" s="21">
        <f>0</f>
        <v>0</v>
      </c>
      <c r="F27" s="51">
        <v>0</v>
      </c>
      <c r="G27" s="2"/>
    </row>
    <row r="28" spans="2:7">
      <c r="B28" s="2"/>
      <c r="C28" s="55" t="s">
        <v>465</v>
      </c>
      <c r="D28" s="56"/>
      <c r="E28" s="21">
        <f>0</f>
        <v>0</v>
      </c>
      <c r="F28" s="51">
        <v>0</v>
      </c>
      <c r="G28" s="2"/>
    </row>
    <row r="29" spans="2:7">
      <c r="B29" s="2"/>
      <c r="C29" s="55" t="s">
        <v>466</v>
      </c>
      <c r="D29" s="56"/>
      <c r="E29" s="21">
        <f>0</f>
        <v>0</v>
      </c>
      <c r="F29" s="51">
        <v>0</v>
      </c>
      <c r="G29" s="2"/>
    </row>
    <row r="30" spans="2:7">
      <c r="B30" s="2"/>
      <c r="C30" s="32" t="s">
        <v>467</v>
      </c>
      <c r="D30" s="33"/>
      <c r="E30" s="21">
        <f>0</f>
        <v>0</v>
      </c>
      <c r="F30" s="51">
        <v>0</v>
      </c>
      <c r="G30" s="2"/>
    </row>
    <row r="31" spans="2:7">
      <c r="B31" s="2"/>
      <c r="C31" s="32" t="s">
        <v>468</v>
      </c>
      <c r="D31" s="33"/>
      <c r="E31" s="21">
        <f>0</f>
        <v>0</v>
      </c>
      <c r="F31" s="51">
        <v>0</v>
      </c>
      <c r="G31" s="2"/>
    </row>
    <row r="32" spans="2:7">
      <c r="B32" s="2"/>
      <c r="C32" s="37" t="s">
        <v>469</v>
      </c>
      <c r="D32" s="38"/>
      <c r="E32" s="17">
        <f>IFERROR((E16/E19),0)</f>
        <v>0</v>
      </c>
      <c r="F32" s="17">
        <f>IFERROR((F16/F19),0)</f>
        <v>0</v>
      </c>
      <c r="G32" s="2"/>
    </row>
    <row r="33" spans="2:7">
      <c r="B33" s="2"/>
      <c r="C33" s="37" t="s">
        <v>470</v>
      </c>
      <c r="D33" s="38"/>
      <c r="E33" s="52">
        <v>0</v>
      </c>
      <c r="F33" s="52">
        <v>0</v>
      </c>
      <c r="G33" s="2"/>
    </row>
    <row r="34" spans="2:7">
      <c r="B34" s="2"/>
      <c r="C34" s="37" t="s">
        <v>471</v>
      </c>
      <c r="D34" s="38"/>
      <c r="E34" s="52">
        <v>0</v>
      </c>
      <c r="F34" s="52">
        <v>0</v>
      </c>
      <c r="G34" s="2"/>
    </row>
    <row r="35" spans="2:7">
      <c r="B35" s="2"/>
      <c r="C35" s="37" t="s">
        <v>472</v>
      </c>
      <c r="D35" s="38"/>
      <c r="E35" s="18">
        <f>MAX(E36,E37)</f>
        <v>0</v>
      </c>
      <c r="F35" s="18">
        <f>MAX(F36,F37)</f>
        <v>0</v>
      </c>
      <c r="G35" s="2"/>
    </row>
    <row r="36" spans="2:7">
      <c r="B36" s="2"/>
      <c r="C36" s="35" t="s">
        <v>473</v>
      </c>
      <c r="D36" s="36"/>
      <c r="E36" s="18">
        <f>MAX(0,(E33-E32)*E19)</f>
        <v>0</v>
      </c>
      <c r="F36" s="18">
        <f>E36</f>
        <v>0</v>
      </c>
      <c r="G36" s="2"/>
    </row>
    <row r="37" spans="2:7">
      <c r="B37" s="2"/>
      <c r="C37" s="35" t="s">
        <v>474</v>
      </c>
      <c r="D37" s="36"/>
      <c r="E37" s="51">
        <v>0</v>
      </c>
      <c r="F37" s="18">
        <f>E37</f>
        <v>0</v>
      </c>
      <c r="G37" s="2"/>
    </row>
    <row r="38" spans="2:7">
      <c r="B38" s="2"/>
      <c r="C38" s="37" t="s">
        <v>475</v>
      </c>
      <c r="D38" s="38"/>
      <c r="E38" s="17">
        <f>IFERROR(((E16+E35)/E19),0)</f>
        <v>0</v>
      </c>
      <c r="F38" s="17">
        <f>IFERROR(((F16-F35)/F19),0)</f>
        <v>0</v>
      </c>
      <c r="G38" s="2"/>
    </row>
    <row r="39" spans="2:7">
      <c r="B39" s="2"/>
      <c r="C39" s="2"/>
      <c r="D39" s="2"/>
      <c r="E39" s="2"/>
      <c r="F39" s="2"/>
      <c r="G39" s="2"/>
    </row>
    <row r="40" spans="2:7" ht="5.0999999999999996" customHeight="1">
      <c r="B40" s="2"/>
      <c r="C40" s="2"/>
      <c r="D40" s="2"/>
      <c r="E40" s="2"/>
      <c r="F40" s="2"/>
      <c r="G40" s="2"/>
    </row>
  </sheetData>
  <sheetProtection sheet="1" formatColumns="0" formatRows="0" selectLockedCells="1"/>
  <mergeCells count="41">
    <mergeCell ref="C7:F7"/>
    <mergeCell ref="C9:F9"/>
    <mergeCell ref="C10:F10"/>
    <mergeCell ref="C11:F11"/>
    <mergeCell ref="C13:F13"/>
    <mergeCell ref="C14:D15"/>
    <mergeCell ref="E14:E15"/>
    <mergeCell ref="F14:F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F27"/>
    <mergeCell ref="C28:D28"/>
    <mergeCell ref="F28"/>
    <mergeCell ref="C29:D29"/>
    <mergeCell ref="F29"/>
    <mergeCell ref="C30:D30"/>
    <mergeCell ref="F30"/>
    <mergeCell ref="C31:D31"/>
    <mergeCell ref="F31"/>
    <mergeCell ref="C32:D32"/>
    <mergeCell ref="C33:D33"/>
    <mergeCell ref="E33"/>
    <mergeCell ref="F33"/>
    <mergeCell ref="C34:D34"/>
    <mergeCell ref="E34"/>
    <mergeCell ref="F34"/>
    <mergeCell ref="C35:D35"/>
    <mergeCell ref="C36:D36"/>
    <mergeCell ref="C37:D37"/>
    <mergeCell ref="E37"/>
    <mergeCell ref="C38:D38"/>
  </mergeCells>
  <dataValidations count="10"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476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477</v>
      </c>
      <c r="D9" s="46"/>
      <c r="E9" s="46"/>
      <c r="F9" s="46"/>
      <c r="G9" s="46"/>
      <c r="H9" s="2"/>
    </row>
    <row r="10" spans="2:8">
      <c r="B10" s="2"/>
      <c r="C10" s="46" t="s">
        <v>478</v>
      </c>
      <c r="D10" s="46"/>
      <c r="E10" s="46"/>
      <c r="F10" s="46"/>
      <c r="G10" s="46"/>
      <c r="H10" s="2"/>
    </row>
    <row r="11" spans="2: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 t="s">
        <v>232</v>
      </c>
      <c r="D13" s="48"/>
      <c r="E13" s="48"/>
      <c r="F13" s="48"/>
      <c r="G13" s="48"/>
      <c r="H13" s="2"/>
    </row>
    <row r="14" spans="2:8">
      <c r="B14" s="2"/>
      <c r="C14" s="40" t="s">
        <v>236</v>
      </c>
      <c r="D14" s="38"/>
      <c r="E14" s="40" t="str">
        <f>"Indikator"</f>
        <v>Indikator</v>
      </c>
      <c r="F14" s="54"/>
      <c r="G14" s="38"/>
      <c r="H14" s="2"/>
    </row>
    <row r="15" spans="2:8">
      <c r="B15" s="2"/>
      <c r="C15" s="41"/>
      <c r="D15" s="42"/>
      <c r="E15" s="43" t="str">
        <f>"Dana Tabarru'"</f>
        <v>Dana Tabarru'</v>
      </c>
      <c r="F15" s="43" t="str">
        <f>"Dana Perusahaan"</f>
        <v>Dana Perusahaan</v>
      </c>
      <c r="G15" s="43" t="str">
        <f>"Gabungan"</f>
        <v>Gabungan</v>
      </c>
      <c r="H15" s="2"/>
    </row>
    <row r="16" spans="2:8">
      <c r="B16" s="2"/>
      <c r="C16" s="37" t="s">
        <v>479</v>
      </c>
      <c r="D16" s="38"/>
      <c r="E16" s="20">
        <f>IFERROR(E17, 0)+IFERROR(E18, 0)+IFERROR(E19, 0)</f>
        <v>0</v>
      </c>
      <c r="F16" s="20">
        <f>IFERROR(F17, 0)+IFERROR(F18, 0)+IFERROR(F19, 0)</f>
        <v>0</v>
      </c>
      <c r="G16" s="18">
        <f>SUM(E16:F16)</f>
        <v>0</v>
      </c>
      <c r="H16" s="2"/>
    </row>
    <row r="17" spans="2:8">
      <c r="B17" s="2"/>
      <c r="C17" s="35" t="s">
        <v>480</v>
      </c>
      <c r="D17" s="36"/>
      <c r="E17" s="51">
        <v>0</v>
      </c>
      <c r="F17" s="51">
        <v>0</v>
      </c>
      <c r="G17" s="18">
        <f>SUM(E17:F17)</f>
        <v>0</v>
      </c>
      <c r="H17" s="2"/>
    </row>
    <row r="18" spans="2:8">
      <c r="B18" s="2"/>
      <c r="C18" s="35" t="s">
        <v>481</v>
      </c>
      <c r="D18" s="36"/>
      <c r="E18" s="51">
        <v>0</v>
      </c>
      <c r="F18" s="51">
        <v>0</v>
      </c>
      <c r="G18" s="18">
        <f>SUM(E18:F18)</f>
        <v>0</v>
      </c>
      <c r="H18" s="2"/>
    </row>
    <row r="19" spans="2:8">
      <c r="B19" s="2"/>
      <c r="C19" s="35" t="s">
        <v>482</v>
      </c>
      <c r="D19" s="36"/>
      <c r="E19" s="17">
        <f>IFERROR(E17/E18,0)</f>
        <v>0</v>
      </c>
      <c r="F19" s="17">
        <f>IFERROR(F17/F18,0)</f>
        <v>0</v>
      </c>
      <c r="G19" s="17">
        <f>IFERROR(G17/G18,0)</f>
        <v>0</v>
      </c>
      <c r="H19" s="2"/>
    </row>
    <row r="20" spans="2:8">
      <c r="B20" s="2"/>
      <c r="C20" s="37" t="s">
        <v>483</v>
      </c>
      <c r="D20" s="38"/>
      <c r="E20" s="20">
        <f>IFERROR(E21, 0)+IFERROR(E22, 0)+IFERROR(E23, 0)+0</f>
        <v>0</v>
      </c>
      <c r="F20" s="20">
        <f>IFERROR(F21, 0)+IFERROR(F22, 0)+IFERROR(F23, 0)+0</f>
        <v>0</v>
      </c>
      <c r="G20" s="18">
        <f>SUM(E20:F20)</f>
        <v>0</v>
      </c>
      <c r="H20" s="2"/>
    </row>
    <row r="21" spans="2:8">
      <c r="B21" s="2"/>
      <c r="C21" s="35" t="s">
        <v>484</v>
      </c>
      <c r="D21" s="36"/>
      <c r="E21" s="51">
        <v>0</v>
      </c>
      <c r="F21" s="21">
        <f>0</f>
        <v>0</v>
      </c>
      <c r="G21" s="18">
        <f>SUM(E21:F21)</f>
        <v>0</v>
      </c>
      <c r="H21" s="2"/>
    </row>
    <row r="22" spans="2:8">
      <c r="B22" s="2"/>
      <c r="C22" s="35" t="s">
        <v>485</v>
      </c>
      <c r="D22" s="36"/>
      <c r="E22" s="51">
        <v>0</v>
      </c>
      <c r="F22" s="21">
        <f>0</f>
        <v>0</v>
      </c>
      <c r="G22" s="18">
        <f>SUM(E22:F22)</f>
        <v>0</v>
      </c>
      <c r="H22" s="2"/>
    </row>
    <row r="23" spans="2:8">
      <c r="B23" s="2"/>
      <c r="C23" s="35" t="s">
        <v>486</v>
      </c>
      <c r="D23" s="36"/>
      <c r="E23" s="51">
        <v>0</v>
      </c>
      <c r="F23" s="21">
        <f>0</f>
        <v>0</v>
      </c>
      <c r="G23" s="18">
        <f>SUM(E23:F23)</f>
        <v>0</v>
      </c>
      <c r="H23" s="2"/>
    </row>
    <row r="24" spans="2:8">
      <c r="B24" s="2"/>
      <c r="C24" s="35" t="s">
        <v>487</v>
      </c>
      <c r="D24" s="36"/>
      <c r="E24" s="17">
        <f>IFERROR((E21/(E22+E23)),0)</f>
        <v>0</v>
      </c>
      <c r="F24" s="21">
        <f>0</f>
        <v>0</v>
      </c>
      <c r="G24" s="17">
        <f>IFERROR((G21/(G22+G23)),0)</f>
        <v>0</v>
      </c>
      <c r="H24" s="2"/>
    </row>
    <row r="25" spans="2:8">
      <c r="B25" s="2"/>
      <c r="C25" s="37" t="s">
        <v>488</v>
      </c>
      <c r="D25" s="38"/>
      <c r="E25" s="20">
        <f>IFERROR(E26, 0)+IFERROR(E27, 0)+0</f>
        <v>0</v>
      </c>
      <c r="F25" s="20">
        <f>IFERROR(F26, 0)+IFERROR(F27, 0)+0</f>
        <v>0</v>
      </c>
      <c r="G25" s="18">
        <f>SUM(E25:F25)</f>
        <v>0</v>
      </c>
      <c r="H25" s="2"/>
    </row>
    <row r="26" spans="2:8">
      <c r="B26" s="2"/>
      <c r="C26" s="35" t="s">
        <v>489</v>
      </c>
      <c r="D26" s="36"/>
      <c r="E26" s="51">
        <v>0</v>
      </c>
      <c r="F26" s="51">
        <v>0</v>
      </c>
      <c r="G26" s="18">
        <f>SUM(E26:F26)</f>
        <v>0</v>
      </c>
      <c r="H26" s="2"/>
    </row>
    <row r="27" spans="2:8">
      <c r="B27" s="2"/>
      <c r="C27" s="35" t="s">
        <v>490</v>
      </c>
      <c r="D27" s="36"/>
      <c r="E27" s="57">
        <v>0</v>
      </c>
      <c r="F27" s="57">
        <v>0</v>
      </c>
      <c r="G27" s="22">
        <f>SUM(E27:F27)</f>
        <v>0</v>
      </c>
      <c r="H27" s="2"/>
    </row>
    <row r="28" spans="2:8">
      <c r="B28" s="2"/>
      <c r="C28" s="35" t="s">
        <v>482</v>
      </c>
      <c r="D28" s="36"/>
      <c r="E28" s="17">
        <f>IFERROR(E26/E27,0)</f>
        <v>0</v>
      </c>
      <c r="F28" s="17">
        <f>IFERROR(F26/F27,0)</f>
        <v>0</v>
      </c>
      <c r="G28" s="17">
        <f>IFERROR(G26/G27,0)</f>
        <v>0</v>
      </c>
      <c r="H28" s="2"/>
    </row>
    <row r="29" spans="2:8">
      <c r="B29" s="2"/>
      <c r="C29" s="37" t="s">
        <v>491</v>
      </c>
      <c r="D29" s="38"/>
      <c r="E29" s="20">
        <f>IFERROR(E30, 0)+IFERROR(E31, 0)+0</f>
        <v>0</v>
      </c>
      <c r="F29" s="20">
        <f>IFERROR(F30, 0)+IFERROR(F31, 0)+0</f>
        <v>0</v>
      </c>
      <c r="G29" s="18">
        <f>SUM(E29:F29)</f>
        <v>0</v>
      </c>
      <c r="H29" s="2"/>
    </row>
    <row r="30" spans="2:8">
      <c r="B30" s="2"/>
      <c r="C30" s="35" t="s">
        <v>492</v>
      </c>
      <c r="D30" s="36"/>
      <c r="E30" s="51">
        <v>0</v>
      </c>
      <c r="F30" s="21">
        <f>0</f>
        <v>0</v>
      </c>
      <c r="G30" s="18">
        <f>SUM(E30:F30)</f>
        <v>0</v>
      </c>
      <c r="H30" s="2"/>
    </row>
    <row r="31" spans="2:8">
      <c r="B31" s="2"/>
      <c r="C31" s="35" t="s">
        <v>493</v>
      </c>
      <c r="D31" s="36"/>
      <c r="E31" s="51">
        <v>0</v>
      </c>
      <c r="F31" s="21">
        <f>0</f>
        <v>0</v>
      </c>
      <c r="G31" s="18">
        <f>SUM(E31:F31)</f>
        <v>0</v>
      </c>
      <c r="H31" s="2"/>
    </row>
    <row r="32" spans="2:8">
      <c r="B32" s="2"/>
      <c r="C32" s="35" t="s">
        <v>482</v>
      </c>
      <c r="D32" s="36"/>
      <c r="E32" s="17">
        <f>IFERROR(E30/E31,0)</f>
        <v>0</v>
      </c>
      <c r="F32" s="21">
        <f>0</f>
        <v>0</v>
      </c>
      <c r="G32" s="17">
        <f>IFERROR(G30/G31,0)</f>
        <v>0</v>
      </c>
      <c r="H32" s="2"/>
    </row>
    <row r="33" spans="2:8">
      <c r="B33" s="2"/>
      <c r="C33" s="37" t="s">
        <v>494</v>
      </c>
      <c r="D33" s="38"/>
      <c r="E33" s="20">
        <f>IFERROR(E34, 0)+IFERROR(E35, 0)+0+0</f>
        <v>0</v>
      </c>
      <c r="F33" s="20">
        <f>IFERROR(F34, 0)+IFERROR(F35, 0)+0+0</f>
        <v>0</v>
      </c>
      <c r="G33" s="18">
        <f>SUM(E33:F33)</f>
        <v>0</v>
      </c>
      <c r="H33" s="2"/>
    </row>
    <row r="34" spans="2:8">
      <c r="B34" s="2"/>
      <c r="C34" s="35" t="s">
        <v>495</v>
      </c>
      <c r="D34" s="36"/>
      <c r="E34" s="51">
        <v>0</v>
      </c>
      <c r="F34" s="51">
        <v>0</v>
      </c>
      <c r="G34" s="18">
        <f>SUM(E34:F34)</f>
        <v>0</v>
      </c>
      <c r="H34" s="2"/>
    </row>
    <row r="35" spans="2:8">
      <c r="B35" s="2"/>
      <c r="C35" s="35" t="s">
        <v>496</v>
      </c>
      <c r="D35" s="36"/>
      <c r="E35" s="51">
        <v>0</v>
      </c>
      <c r="F35" s="51">
        <v>0</v>
      </c>
      <c r="G35" s="18">
        <f>SUM(E35:F35)</f>
        <v>0</v>
      </c>
      <c r="H35" s="2"/>
    </row>
    <row r="36" spans="2:8">
      <c r="B36" s="2"/>
      <c r="C36" s="35" t="s">
        <v>497</v>
      </c>
      <c r="D36" s="36"/>
      <c r="E36" s="18">
        <f>E34-E35</f>
        <v>0</v>
      </c>
      <c r="F36" s="18">
        <f>F34-F35</f>
        <v>0</v>
      </c>
      <c r="G36" s="18">
        <f>G34-G35</f>
        <v>0</v>
      </c>
      <c r="H36" s="2"/>
    </row>
    <row r="37" spans="2:8">
      <c r="B37" s="2"/>
      <c r="C37" s="35" t="s">
        <v>498</v>
      </c>
      <c r="D37" s="36"/>
      <c r="E37" s="17">
        <f>IFERROR(E36/E35,0)</f>
        <v>0</v>
      </c>
      <c r="F37" s="17">
        <f>IFERROR(F36/F35,0)</f>
        <v>0</v>
      </c>
      <c r="G37" s="17">
        <f>IFERROR(G36/G35,0)</f>
        <v>0</v>
      </c>
      <c r="H37" s="2"/>
    </row>
    <row r="38" spans="2:8">
      <c r="B38" s="2"/>
      <c r="C38" s="37" t="s">
        <v>499</v>
      </c>
      <c r="D38" s="38"/>
      <c r="E38" s="20">
        <f>IFERROR(E39, 0)+IFERROR(E40, 0)+IFERROR(E41, 0)+0</f>
        <v>0</v>
      </c>
      <c r="F38" s="20">
        <f>IFERROR(F39, 0)+IFERROR(F40, 0)+IFERROR(F41, 0)+0</f>
        <v>0</v>
      </c>
      <c r="G38" s="18">
        <f>SUM(E38:F38)</f>
        <v>0</v>
      </c>
      <c r="H38" s="2"/>
    </row>
    <row r="39" spans="2:8">
      <c r="B39" s="2"/>
      <c r="C39" s="35" t="s">
        <v>500</v>
      </c>
      <c r="D39" s="36"/>
      <c r="E39" s="51">
        <v>0</v>
      </c>
      <c r="F39" s="51">
        <v>0</v>
      </c>
      <c r="G39" s="18">
        <f>SUM(E39:F39)</f>
        <v>0</v>
      </c>
      <c r="H39" s="2"/>
    </row>
    <row r="40" spans="2:8">
      <c r="B40" s="2"/>
      <c r="C40" s="35" t="s">
        <v>501</v>
      </c>
      <c r="D40" s="36"/>
      <c r="E40" s="51">
        <v>0</v>
      </c>
      <c r="F40" s="51">
        <v>0</v>
      </c>
      <c r="G40" s="18">
        <f>SUM(E40:F40)</f>
        <v>0</v>
      </c>
      <c r="H40" s="2"/>
    </row>
    <row r="41" spans="2:8">
      <c r="B41" s="2"/>
      <c r="C41" s="35" t="s">
        <v>502</v>
      </c>
      <c r="D41" s="36"/>
      <c r="E41" s="51">
        <v>0</v>
      </c>
      <c r="F41" s="51">
        <v>0</v>
      </c>
      <c r="G41" s="18">
        <f>SUM(E41:F41)</f>
        <v>0</v>
      </c>
      <c r="H41" s="2"/>
    </row>
    <row r="42" spans="2:8">
      <c r="B42" s="2"/>
      <c r="C42" s="35" t="s">
        <v>503</v>
      </c>
      <c r="D42" s="36"/>
      <c r="E42" s="17">
        <f>IFERROR(((E39+E40)/(E39+E40+E41)),0)</f>
        <v>0</v>
      </c>
      <c r="F42" s="17">
        <f>IFERROR(((F39+F40)/(F39+F40+F41)),0)</f>
        <v>0</v>
      </c>
      <c r="G42" s="17">
        <f>IFERROR(((G39+G40)/(G39+G40+G41)),0)</f>
        <v>0</v>
      </c>
      <c r="H42" s="2"/>
    </row>
    <row r="43" spans="2:8">
      <c r="B43" s="2"/>
      <c r="C43" s="37" t="s">
        <v>504</v>
      </c>
      <c r="D43" s="38"/>
      <c r="E43" s="20">
        <f>IFERROR(E44, 0)+IFERROR(E45, 0)+0</f>
        <v>0</v>
      </c>
      <c r="F43" s="20">
        <f>IFERROR(F44, 0)+IFERROR(F45, 0)+0</f>
        <v>0</v>
      </c>
      <c r="G43" s="18">
        <f>SUM(E43:F43)</f>
        <v>0</v>
      </c>
      <c r="H43" s="2"/>
    </row>
    <row r="44" spans="2:8">
      <c r="B44" s="2"/>
      <c r="C44" s="35" t="s">
        <v>505</v>
      </c>
      <c r="D44" s="36"/>
      <c r="E44" s="51">
        <v>0</v>
      </c>
      <c r="F44" s="21">
        <f>0</f>
        <v>0</v>
      </c>
      <c r="G44" s="18">
        <f>SUM(E44:F44)</f>
        <v>0</v>
      </c>
      <c r="H44" s="2"/>
    </row>
    <row r="45" spans="2:8">
      <c r="B45" s="2"/>
      <c r="C45" s="35" t="s">
        <v>506</v>
      </c>
      <c r="D45" s="36"/>
      <c r="E45" s="51">
        <v>0</v>
      </c>
      <c r="F45" s="21">
        <f>0</f>
        <v>0</v>
      </c>
      <c r="G45" s="18">
        <f>SUM(E45:F45)</f>
        <v>0</v>
      </c>
      <c r="H45" s="2"/>
    </row>
    <row r="46" spans="2:8">
      <c r="B46" s="2"/>
      <c r="C46" s="35" t="s">
        <v>507</v>
      </c>
      <c r="D46" s="36"/>
      <c r="E46" s="18">
        <f>MAX(0,(E44-E45))</f>
        <v>0</v>
      </c>
      <c r="F46" s="18">
        <f>MAX(0,(F44-F45))</f>
        <v>0</v>
      </c>
      <c r="G46" s="18">
        <f>MAX(0,(G44-G45))</f>
        <v>0</v>
      </c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 ht="5.0999999999999996" customHeight="1">
      <c r="B48" s="2"/>
      <c r="C48" s="2"/>
      <c r="D48" s="2"/>
      <c r="E48" s="2"/>
      <c r="F48" s="2"/>
      <c r="G48" s="2"/>
      <c r="H48" s="2"/>
    </row>
  </sheetData>
  <sheetProtection sheet="1" formatColumns="0" formatRows="0" selectLockedCells="1"/>
  <mergeCells count="66">
    <mergeCell ref="C7:G7"/>
    <mergeCell ref="C9:G9"/>
    <mergeCell ref="C10:G10"/>
    <mergeCell ref="C11:G11"/>
    <mergeCell ref="C13:G13"/>
    <mergeCell ref="C14:D15"/>
    <mergeCell ref="E15"/>
    <mergeCell ref="F15"/>
    <mergeCell ref="E14:G14"/>
    <mergeCell ref="G15"/>
    <mergeCell ref="C16:D16"/>
    <mergeCell ref="C17:D17"/>
    <mergeCell ref="E17"/>
    <mergeCell ref="F17"/>
    <mergeCell ref="C18:D18"/>
    <mergeCell ref="E18"/>
    <mergeCell ref="F18"/>
    <mergeCell ref="C19:D19"/>
    <mergeCell ref="C20:D20"/>
    <mergeCell ref="C21:D21"/>
    <mergeCell ref="E21"/>
    <mergeCell ref="C22:D22"/>
    <mergeCell ref="E22"/>
    <mergeCell ref="C23:D23"/>
    <mergeCell ref="E23"/>
    <mergeCell ref="C24:D24"/>
    <mergeCell ref="C25:D25"/>
    <mergeCell ref="C26:D26"/>
    <mergeCell ref="E26"/>
    <mergeCell ref="F26"/>
    <mergeCell ref="C27:D27"/>
    <mergeCell ref="E27"/>
    <mergeCell ref="F27"/>
    <mergeCell ref="C28:D28"/>
    <mergeCell ref="C29:D29"/>
    <mergeCell ref="C30:D30"/>
    <mergeCell ref="E30"/>
    <mergeCell ref="C31:D31"/>
    <mergeCell ref="E31"/>
    <mergeCell ref="C32:D32"/>
    <mergeCell ref="C33:D33"/>
    <mergeCell ref="C34:D34"/>
    <mergeCell ref="E34"/>
    <mergeCell ref="F34"/>
    <mergeCell ref="C35:D35"/>
    <mergeCell ref="E35"/>
    <mergeCell ref="F35"/>
    <mergeCell ref="C36:D36"/>
    <mergeCell ref="C37:D37"/>
    <mergeCell ref="C38:D38"/>
    <mergeCell ref="C39:D39"/>
    <mergeCell ref="E39"/>
    <mergeCell ref="F39"/>
    <mergeCell ref="C40:D40"/>
    <mergeCell ref="E40"/>
    <mergeCell ref="F40"/>
    <mergeCell ref="C41:D41"/>
    <mergeCell ref="E41"/>
    <mergeCell ref="F41"/>
    <mergeCell ref="C42:D42"/>
    <mergeCell ref="C43:D43"/>
    <mergeCell ref="C44:D44"/>
    <mergeCell ref="E44"/>
    <mergeCell ref="C45:D45"/>
    <mergeCell ref="E45"/>
    <mergeCell ref="C46:D46"/>
  </mergeCells>
  <dataValidations count="25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508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45" t="str">
        <f>UPPER('Data Umum'!D7)</f>
        <v/>
      </c>
      <c r="D7" s="45"/>
      <c r="E7" s="45"/>
      <c r="F7" s="45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46" t="s">
        <v>509</v>
      </c>
      <c r="D9" s="46"/>
      <c r="E9" s="46"/>
      <c r="F9" s="46"/>
      <c r="G9" s="2"/>
    </row>
    <row r="10" spans="2:7">
      <c r="B10" s="2"/>
      <c r="C10" s="46" t="s">
        <v>510</v>
      </c>
      <c r="D10" s="46"/>
      <c r="E10" s="46"/>
      <c r="F10" s="46"/>
      <c r="G10" s="2"/>
    </row>
    <row r="11" spans="2:7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48" t="s">
        <v>232</v>
      </c>
      <c r="D13" s="48"/>
      <c r="E13" s="48"/>
      <c r="F13" s="48"/>
      <c r="G13" s="2"/>
    </row>
    <row r="14" spans="2:7">
      <c r="B14" s="2"/>
      <c r="C14" s="40" t="s">
        <v>236</v>
      </c>
      <c r="D14" s="38"/>
      <c r="E14" s="40" t="str">
        <f>"Jumlah Deviasi"</f>
        <v>Jumlah Deviasi</v>
      </c>
      <c r="F14" s="38"/>
      <c r="G14" s="2"/>
    </row>
    <row r="15" spans="2:7">
      <c r="B15" s="2"/>
      <c r="C15" s="41"/>
      <c r="D15" s="42"/>
      <c r="E15" s="43" t="str">
        <f>"Dana Tabarru"</f>
        <v>Dana Tabarru</v>
      </c>
      <c r="F15" s="43" t="str">
        <f>"Dana Perusahaan"</f>
        <v>Dana Perusahaan</v>
      </c>
      <c r="G15" s="2"/>
    </row>
    <row r="16" spans="2:7">
      <c r="B16" s="2"/>
      <c r="C16" s="37" t="s">
        <v>511</v>
      </c>
      <c r="D16" s="38"/>
      <c r="E16" s="18">
        <f>RKRKRES!I100</f>
        <v>0</v>
      </c>
      <c r="F16" s="18">
        <f>RKRKRES!J100</f>
        <v>0</v>
      </c>
      <c r="G16" s="2"/>
    </row>
    <row r="17" spans="2:7">
      <c r="B17" s="2"/>
      <c r="C17" s="37" t="s">
        <v>512</v>
      </c>
      <c r="D17" s="38"/>
      <c r="E17" s="18">
        <f>SUM(RKRKRES1!K:K)</f>
        <v>0</v>
      </c>
      <c r="F17" s="21">
        <f>0</f>
        <v>0</v>
      </c>
      <c r="G17" s="2"/>
    </row>
    <row r="18" spans="2:7">
      <c r="B18" s="2"/>
      <c r="C18" s="37" t="s">
        <v>513</v>
      </c>
      <c r="D18" s="38"/>
      <c r="E18" s="18">
        <f>E16+E17</f>
        <v>0</v>
      </c>
      <c r="F18" s="18">
        <f>F16+F17</f>
        <v>0</v>
      </c>
      <c r="G18" s="2"/>
    </row>
    <row r="19" spans="2:7">
      <c r="B19" s="2"/>
      <c r="C19" s="2"/>
      <c r="D19" s="2"/>
      <c r="E19" s="2"/>
      <c r="F19" s="2"/>
      <c r="G19" s="2"/>
    </row>
    <row r="20" spans="2:7" ht="5.0999999999999996" customHeight="1">
      <c r="B20" s="2"/>
      <c r="C20" s="2"/>
      <c r="D20" s="2"/>
      <c r="E20" s="2"/>
      <c r="F20" s="2"/>
      <c r="G20" s="2"/>
    </row>
  </sheetData>
  <sheetProtection sheet="1" formatColumns="0" formatRows="0" selectLockedCells="1"/>
  <mergeCells count="12">
    <mergeCell ref="C7:F7"/>
    <mergeCell ref="C9:F9"/>
    <mergeCell ref="C10:F10"/>
    <mergeCell ref="C11:F11"/>
    <mergeCell ref="C13:F13"/>
    <mergeCell ref="C17:D17"/>
    <mergeCell ref="C18:D18"/>
    <mergeCell ref="C14:D15"/>
    <mergeCell ref="E15"/>
    <mergeCell ref="E14:F14"/>
    <mergeCell ref="F15"/>
    <mergeCell ref="C16:D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514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46" t="s">
        <v>509</v>
      </c>
      <c r="D9" s="46"/>
      <c r="E9" s="46"/>
      <c r="F9" s="46"/>
      <c r="G9" s="46"/>
      <c r="H9" s="46"/>
      <c r="I9" s="46"/>
      <c r="J9" s="46"/>
      <c r="K9" s="46"/>
      <c r="L9" s="2"/>
    </row>
    <row r="10" spans="2:12">
      <c r="B10" s="2"/>
      <c r="C10" s="46" t="s">
        <v>515</v>
      </c>
      <c r="D10" s="46"/>
      <c r="E10" s="46"/>
      <c r="F10" s="46"/>
      <c r="G10" s="46"/>
      <c r="H10" s="46"/>
      <c r="I10" s="46"/>
      <c r="J10" s="46"/>
      <c r="K10" s="46"/>
      <c r="L10" s="2"/>
    </row>
    <row r="11" spans="2:12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2"/>
    </row>
    <row r="14" spans="2:12">
      <c r="B14" s="2"/>
      <c r="C14" s="40" t="s">
        <v>236</v>
      </c>
      <c r="D14" s="38"/>
      <c r="E14" s="40" t="str">
        <f>"Jumlah AYD"</f>
        <v>Jumlah AYD</v>
      </c>
      <c r="F14" s="54"/>
      <c r="G14" s="38"/>
      <c r="H14" s="43" t="str">
        <f>""</f>
        <v/>
      </c>
      <c r="I14" s="40" t="str">
        <f>"Jumlah Deviasi"</f>
        <v>Jumlah Deviasi</v>
      </c>
      <c r="J14" s="54"/>
      <c r="K14" s="38"/>
      <c r="L14" s="2"/>
    </row>
    <row r="15" spans="2:12">
      <c r="B15" s="2"/>
      <c r="C15" s="41"/>
      <c r="D15" s="42"/>
      <c r="E15" s="43" t="str">
        <f>"Dana Tabarru"</f>
        <v>Dana Tabarru</v>
      </c>
      <c r="F15" s="43" t="str">
        <f>"Dana Perusahaan"</f>
        <v>Dana Perusahaan</v>
      </c>
      <c r="G15" s="43" t="str">
        <f>"PAYDI (digaransi)"</f>
        <v>PAYDI (digaransi)</v>
      </c>
      <c r="H15" s="43" t="str">
        <f>"Faktor"</f>
        <v>Faktor</v>
      </c>
      <c r="I15" s="43" t="str">
        <f>"Dana Tabarru"</f>
        <v>Dana Tabarru</v>
      </c>
      <c r="J15" s="43" t="str">
        <f>"Dana Perusahaan"</f>
        <v>Dana Perusahaan</v>
      </c>
      <c r="K15" s="43" t="str">
        <f>"PAYDI (digaransi)"</f>
        <v>PAYDI (digaransi)</v>
      </c>
      <c r="L15" s="2"/>
    </row>
    <row r="16" spans="2:12">
      <c r="B16" s="2"/>
      <c r="C16" s="37" t="s">
        <v>248</v>
      </c>
      <c r="D16" s="38"/>
      <c r="E16" s="20">
        <f>IFERROR(E17, 0)+IFERROR(E18, 0)+IFERROR(E19, 0)+IFERROR(E25, 0)+IFERROR(E31, 0)+IFERROR(E37, 0)+IFERROR(E38, 0)+IFERROR(E39, 0)+IFERROR(E45, 0)+IFERROR(E46, 0)+IFERROR(E47, 0)+IFERROR(E52, 0)+IFERROR(E60, 0)</f>
        <v>0</v>
      </c>
      <c r="F16" s="20">
        <f>IFERROR(F17, 0)+IFERROR(F18, 0)+IFERROR(F19, 0)+IFERROR(F25, 0)+IFERROR(F31, 0)+IFERROR(F37, 0)+IFERROR(F38, 0)+IFERROR(F39, 0)+IFERROR(F45, 0)+IFERROR(F46, 0)+IFERROR(F47, 0)+IFERROR(F52, 0)+IFERROR(F60, 0)</f>
        <v>0</v>
      </c>
      <c r="G16" s="20">
        <f>IFERROR(G17, 0)+IFERROR(G18, 0)+IFERROR(G19, 0)+IFERROR(G25, 0)+IFERROR(G31, 0)+IFERROR(G37, 0)+IFERROR(G38, 0)+IFERROR(G39, 0)+IFERROR(G45, 0)+IFERROR(G46, 0)+IFERROR(G47, 0)+IFERROR(G52, 0)+IFERROR(G60, 0)</f>
        <v>0</v>
      </c>
      <c r="H16" s="18">
        <f>0</f>
        <v>0</v>
      </c>
      <c r="I16" s="18">
        <f t="shared" ref="I16:I47" si="0">E16*H16</f>
        <v>0</v>
      </c>
      <c r="J16" s="18">
        <f t="shared" ref="J16:J47" si="1">F16*H16</f>
        <v>0</v>
      </c>
      <c r="K16" s="18">
        <f t="shared" ref="K16:K47" si="2">G16*H16</f>
        <v>0</v>
      </c>
      <c r="L16" s="2"/>
    </row>
    <row r="17" spans="2:12">
      <c r="B17" s="2"/>
      <c r="C17" s="35" t="s">
        <v>516</v>
      </c>
      <c r="D17" s="36"/>
      <c r="E17" s="51">
        <v>0</v>
      </c>
      <c r="F17" s="51">
        <v>0</v>
      </c>
      <c r="G17" s="51">
        <v>0</v>
      </c>
      <c r="H17" s="18">
        <f>0</f>
        <v>0</v>
      </c>
      <c r="I17" s="18">
        <f t="shared" si="0"/>
        <v>0</v>
      </c>
      <c r="J17" s="18">
        <f t="shared" si="1"/>
        <v>0</v>
      </c>
      <c r="K17" s="18">
        <f t="shared" si="2"/>
        <v>0</v>
      </c>
      <c r="L17" s="2"/>
    </row>
    <row r="18" spans="2:12">
      <c r="B18" s="2"/>
      <c r="C18" s="35" t="s">
        <v>517</v>
      </c>
      <c r="D18" s="36"/>
      <c r="E18" s="51">
        <v>0</v>
      </c>
      <c r="F18" s="51">
        <v>0</v>
      </c>
      <c r="G18" s="51">
        <v>0</v>
      </c>
      <c r="H18" s="18">
        <f>0</f>
        <v>0</v>
      </c>
      <c r="I18" s="18">
        <f t="shared" si="0"/>
        <v>0</v>
      </c>
      <c r="J18" s="18">
        <f t="shared" si="1"/>
        <v>0</v>
      </c>
      <c r="K18" s="18">
        <f t="shared" si="2"/>
        <v>0</v>
      </c>
      <c r="L18" s="2"/>
    </row>
    <row r="19" spans="2:12">
      <c r="B19" s="2"/>
      <c r="C19" s="35" t="s">
        <v>518</v>
      </c>
      <c r="D19" s="36"/>
      <c r="E19" s="20">
        <f>IFERROR(E20, 0)+IFERROR(E21, 0)+IFERROR(E22, 0)+IFERROR(E23, 0)+IFERROR(E24, 0)</f>
        <v>0</v>
      </c>
      <c r="F19" s="20">
        <f>IFERROR(F20, 0)+IFERROR(F21, 0)+IFERROR(F22, 0)+IFERROR(F23, 0)+IFERROR(F24, 0)</f>
        <v>0</v>
      </c>
      <c r="G19" s="20">
        <f>IFERROR(G20, 0)+IFERROR(G21, 0)+IFERROR(G22, 0)+IFERROR(G23, 0)+IFERROR(G24, 0)</f>
        <v>0</v>
      </c>
      <c r="H19" s="18">
        <f>0</f>
        <v>0</v>
      </c>
      <c r="I19" s="18">
        <f t="shared" si="0"/>
        <v>0</v>
      </c>
      <c r="J19" s="18">
        <f t="shared" si="1"/>
        <v>0</v>
      </c>
      <c r="K19" s="18">
        <f t="shared" si="2"/>
        <v>0</v>
      </c>
      <c r="L19" s="2"/>
    </row>
    <row r="20" spans="2:12">
      <c r="B20" s="2"/>
      <c r="C20" s="32" t="s">
        <v>519</v>
      </c>
      <c r="D20" s="33"/>
      <c r="E20" s="51">
        <v>0</v>
      </c>
      <c r="F20" s="51">
        <v>0</v>
      </c>
      <c r="G20" s="51">
        <v>0</v>
      </c>
      <c r="H20" s="17">
        <f>0.012</f>
        <v>1.2E-2</v>
      </c>
      <c r="I20" s="18">
        <f t="shared" si="0"/>
        <v>0</v>
      </c>
      <c r="J20" s="18">
        <f t="shared" si="1"/>
        <v>0</v>
      </c>
      <c r="K20" s="18">
        <f t="shared" si="2"/>
        <v>0</v>
      </c>
      <c r="L20" s="2"/>
    </row>
    <row r="21" spans="2:12">
      <c r="B21" s="2"/>
      <c r="C21" s="32" t="s">
        <v>520</v>
      </c>
      <c r="D21" s="33"/>
      <c r="E21" s="51">
        <v>0</v>
      </c>
      <c r="F21" s="51">
        <v>0</v>
      </c>
      <c r="G21" s="51">
        <v>0</v>
      </c>
      <c r="H21" s="17">
        <f>0.021</f>
        <v>2.1000000000000001E-2</v>
      </c>
      <c r="I21" s="18">
        <f t="shared" si="0"/>
        <v>0</v>
      </c>
      <c r="J21" s="18">
        <f t="shared" si="1"/>
        <v>0</v>
      </c>
      <c r="K21" s="18">
        <f t="shared" si="2"/>
        <v>0</v>
      </c>
      <c r="L21" s="2"/>
    </row>
    <row r="22" spans="2:12">
      <c r="B22" s="2"/>
      <c r="C22" s="32" t="s">
        <v>521</v>
      </c>
      <c r="D22" s="33"/>
      <c r="E22" s="51">
        <v>0</v>
      </c>
      <c r="F22" s="51">
        <v>0</v>
      </c>
      <c r="G22" s="51">
        <v>0</v>
      </c>
      <c r="H22" s="17">
        <f>0.03</f>
        <v>0.03</v>
      </c>
      <c r="I22" s="18">
        <f t="shared" si="0"/>
        <v>0</v>
      </c>
      <c r="J22" s="18">
        <f t="shared" si="1"/>
        <v>0</v>
      </c>
      <c r="K22" s="18">
        <f t="shared" si="2"/>
        <v>0</v>
      </c>
      <c r="L22" s="2"/>
    </row>
    <row r="23" spans="2:12">
      <c r="B23" s="2"/>
      <c r="C23" s="32" t="s">
        <v>522</v>
      </c>
      <c r="D23" s="33"/>
      <c r="E23" s="51">
        <v>0</v>
      </c>
      <c r="F23" s="51">
        <v>0</v>
      </c>
      <c r="G23" s="51">
        <v>0</v>
      </c>
      <c r="H23" s="17">
        <f>0.045</f>
        <v>4.4999999999999998E-2</v>
      </c>
      <c r="I23" s="18">
        <f t="shared" si="0"/>
        <v>0</v>
      </c>
      <c r="J23" s="18">
        <f t="shared" si="1"/>
        <v>0</v>
      </c>
      <c r="K23" s="18">
        <f t="shared" si="2"/>
        <v>0</v>
      </c>
      <c r="L23" s="2"/>
    </row>
    <row r="24" spans="2:12">
      <c r="B24" s="2"/>
      <c r="C24" s="32" t="s">
        <v>523</v>
      </c>
      <c r="D24" s="33"/>
      <c r="E24" s="51">
        <v>0</v>
      </c>
      <c r="F24" s="51">
        <v>0</v>
      </c>
      <c r="G24" s="51">
        <v>0</v>
      </c>
      <c r="H24" s="17">
        <f>0.09</f>
        <v>0.09</v>
      </c>
      <c r="I24" s="18">
        <f t="shared" si="0"/>
        <v>0</v>
      </c>
      <c r="J24" s="18">
        <f t="shared" si="1"/>
        <v>0</v>
      </c>
      <c r="K24" s="18">
        <f t="shared" si="2"/>
        <v>0</v>
      </c>
      <c r="L24" s="2"/>
    </row>
    <row r="25" spans="2:12">
      <c r="B25" s="2"/>
      <c r="C25" s="35" t="s">
        <v>524</v>
      </c>
      <c r="D25" s="36"/>
      <c r="E25" s="20">
        <f>IFERROR(E26, 0)+IFERROR(E27, 0)+IFERROR(E28, 0)+IFERROR(E29, 0)+IFERROR(E30, 0)</f>
        <v>0</v>
      </c>
      <c r="F25" s="20">
        <f>IFERROR(F26, 0)+IFERROR(F27, 0)+IFERROR(F28, 0)+IFERROR(F29, 0)+IFERROR(F30, 0)</f>
        <v>0</v>
      </c>
      <c r="G25" s="20">
        <f>IFERROR(G26, 0)+IFERROR(G27, 0)+IFERROR(G28, 0)+IFERROR(G29, 0)+IFERROR(G30, 0)</f>
        <v>0</v>
      </c>
      <c r="H25" s="18">
        <f>0</f>
        <v>0</v>
      </c>
      <c r="I25" s="18">
        <f t="shared" si="0"/>
        <v>0</v>
      </c>
      <c r="J25" s="18">
        <f t="shared" si="1"/>
        <v>0</v>
      </c>
      <c r="K25" s="18">
        <f t="shared" si="2"/>
        <v>0</v>
      </c>
      <c r="L25" s="2"/>
    </row>
    <row r="26" spans="2:12">
      <c r="B26" s="2"/>
      <c r="C26" s="32" t="s">
        <v>519</v>
      </c>
      <c r="D26" s="33"/>
      <c r="E26" s="51">
        <v>0</v>
      </c>
      <c r="F26" s="51">
        <v>0</v>
      </c>
      <c r="G26" s="51">
        <v>0</v>
      </c>
      <c r="H26" s="17">
        <f>0.016</f>
        <v>1.6E-2</v>
      </c>
      <c r="I26" s="18">
        <f t="shared" si="0"/>
        <v>0</v>
      </c>
      <c r="J26" s="18">
        <f t="shared" si="1"/>
        <v>0</v>
      </c>
      <c r="K26" s="18">
        <f t="shared" si="2"/>
        <v>0</v>
      </c>
      <c r="L26" s="2"/>
    </row>
    <row r="27" spans="2:12">
      <c r="B27" s="2"/>
      <c r="C27" s="32" t="s">
        <v>520</v>
      </c>
      <c r="D27" s="33"/>
      <c r="E27" s="51">
        <v>0</v>
      </c>
      <c r="F27" s="51">
        <v>0</v>
      </c>
      <c r="G27" s="51">
        <v>0</v>
      </c>
      <c r="H27" s="17">
        <f>0.028</f>
        <v>2.8000000000000001E-2</v>
      </c>
      <c r="I27" s="18">
        <f t="shared" si="0"/>
        <v>0</v>
      </c>
      <c r="J27" s="18">
        <f t="shared" si="1"/>
        <v>0</v>
      </c>
      <c r="K27" s="18">
        <f t="shared" si="2"/>
        <v>0</v>
      </c>
      <c r="L27" s="2"/>
    </row>
    <row r="28" spans="2:12">
      <c r="B28" s="2"/>
      <c r="C28" s="32" t="s">
        <v>521</v>
      </c>
      <c r="D28" s="33"/>
      <c r="E28" s="51">
        <v>0</v>
      </c>
      <c r="F28" s="51">
        <v>0</v>
      </c>
      <c r="G28" s="51">
        <v>0</v>
      </c>
      <c r="H28" s="17">
        <f>0.04</f>
        <v>0.04</v>
      </c>
      <c r="I28" s="18">
        <f t="shared" si="0"/>
        <v>0</v>
      </c>
      <c r="J28" s="18">
        <f t="shared" si="1"/>
        <v>0</v>
      </c>
      <c r="K28" s="18">
        <f t="shared" si="2"/>
        <v>0</v>
      </c>
      <c r="L28" s="2"/>
    </row>
    <row r="29" spans="2:12">
      <c r="B29" s="2"/>
      <c r="C29" s="32" t="s">
        <v>522</v>
      </c>
      <c r="D29" s="33"/>
      <c r="E29" s="51">
        <v>0</v>
      </c>
      <c r="F29" s="51">
        <v>0</v>
      </c>
      <c r="G29" s="51">
        <v>0</v>
      </c>
      <c r="H29" s="17">
        <f>0.06</f>
        <v>0.06</v>
      </c>
      <c r="I29" s="18">
        <f t="shared" si="0"/>
        <v>0</v>
      </c>
      <c r="J29" s="18">
        <f t="shared" si="1"/>
        <v>0</v>
      </c>
      <c r="K29" s="18">
        <f t="shared" si="2"/>
        <v>0</v>
      </c>
      <c r="L29" s="2"/>
    </row>
    <row r="30" spans="2:12">
      <c r="B30" s="2"/>
      <c r="C30" s="32" t="s">
        <v>523</v>
      </c>
      <c r="D30" s="33"/>
      <c r="E30" s="51">
        <v>0</v>
      </c>
      <c r="F30" s="51">
        <v>0</v>
      </c>
      <c r="G30" s="51">
        <v>0</v>
      </c>
      <c r="H30" s="17">
        <f>0.12</f>
        <v>0.12</v>
      </c>
      <c r="I30" s="18">
        <f t="shared" si="0"/>
        <v>0</v>
      </c>
      <c r="J30" s="18">
        <f t="shared" si="1"/>
        <v>0</v>
      </c>
      <c r="K30" s="18">
        <f t="shared" si="2"/>
        <v>0</v>
      </c>
      <c r="L30" s="2"/>
    </row>
    <row r="31" spans="2:12">
      <c r="B31" s="2"/>
      <c r="C31" s="35" t="s">
        <v>253</v>
      </c>
      <c r="D31" s="36"/>
      <c r="E31" s="20">
        <f>IFERROR(E32, 0)+IFERROR(E33, 0)+IFERROR(E34, 0)+IFERROR(E35, 0)+IFERROR(E36, 0)</f>
        <v>0</v>
      </c>
      <c r="F31" s="20">
        <f>IFERROR(F32, 0)+IFERROR(F33, 0)+IFERROR(F34, 0)+IFERROR(F35, 0)+IFERROR(F36, 0)</f>
        <v>0</v>
      </c>
      <c r="G31" s="20">
        <f>IFERROR(G32, 0)+IFERROR(G33, 0)+IFERROR(G34, 0)+IFERROR(G35, 0)+IFERROR(G36, 0)</f>
        <v>0</v>
      </c>
      <c r="H31" s="18">
        <f>0</f>
        <v>0</v>
      </c>
      <c r="I31" s="18">
        <f t="shared" si="0"/>
        <v>0</v>
      </c>
      <c r="J31" s="18">
        <f t="shared" si="1"/>
        <v>0</v>
      </c>
      <c r="K31" s="18">
        <f t="shared" si="2"/>
        <v>0</v>
      </c>
      <c r="L31" s="2"/>
    </row>
    <row r="32" spans="2:12">
      <c r="B32" s="2"/>
      <c r="C32" s="32" t="s">
        <v>519</v>
      </c>
      <c r="D32" s="33"/>
      <c r="E32" s="51">
        <v>0</v>
      </c>
      <c r="F32" s="51">
        <v>0</v>
      </c>
      <c r="G32" s="51">
        <v>0</v>
      </c>
      <c r="H32" s="17">
        <f>0.016</f>
        <v>1.6E-2</v>
      </c>
      <c r="I32" s="18">
        <f t="shared" si="0"/>
        <v>0</v>
      </c>
      <c r="J32" s="18">
        <f t="shared" si="1"/>
        <v>0</v>
      </c>
      <c r="K32" s="18">
        <f t="shared" si="2"/>
        <v>0</v>
      </c>
      <c r="L32" s="2"/>
    </row>
    <row r="33" spans="2:12">
      <c r="B33" s="2"/>
      <c r="C33" s="32" t="s">
        <v>520</v>
      </c>
      <c r="D33" s="33"/>
      <c r="E33" s="51">
        <v>0</v>
      </c>
      <c r="F33" s="51">
        <v>0</v>
      </c>
      <c r="G33" s="51">
        <v>0</v>
      </c>
      <c r="H33" s="17">
        <f>0.028</f>
        <v>2.8000000000000001E-2</v>
      </c>
      <c r="I33" s="18">
        <f t="shared" si="0"/>
        <v>0</v>
      </c>
      <c r="J33" s="18">
        <f t="shared" si="1"/>
        <v>0</v>
      </c>
      <c r="K33" s="18">
        <f t="shared" si="2"/>
        <v>0</v>
      </c>
      <c r="L33" s="2"/>
    </row>
    <row r="34" spans="2:12">
      <c r="B34" s="2"/>
      <c r="C34" s="32" t="s">
        <v>521</v>
      </c>
      <c r="D34" s="33"/>
      <c r="E34" s="51">
        <v>0</v>
      </c>
      <c r="F34" s="51">
        <v>0</v>
      </c>
      <c r="G34" s="51">
        <v>0</v>
      </c>
      <c r="H34" s="17">
        <f>0.04</f>
        <v>0.04</v>
      </c>
      <c r="I34" s="18">
        <f t="shared" si="0"/>
        <v>0</v>
      </c>
      <c r="J34" s="18">
        <f t="shared" si="1"/>
        <v>0</v>
      </c>
      <c r="K34" s="18">
        <f t="shared" si="2"/>
        <v>0</v>
      </c>
      <c r="L34" s="2"/>
    </row>
    <row r="35" spans="2:12">
      <c r="B35" s="2"/>
      <c r="C35" s="32" t="s">
        <v>522</v>
      </c>
      <c r="D35" s="33"/>
      <c r="E35" s="51">
        <v>0</v>
      </c>
      <c r="F35" s="51">
        <v>0</v>
      </c>
      <c r="G35" s="51">
        <v>0</v>
      </c>
      <c r="H35" s="17">
        <f>0.06</f>
        <v>0.06</v>
      </c>
      <c r="I35" s="18">
        <f t="shared" si="0"/>
        <v>0</v>
      </c>
      <c r="J35" s="18">
        <f t="shared" si="1"/>
        <v>0</v>
      </c>
      <c r="K35" s="18">
        <f t="shared" si="2"/>
        <v>0</v>
      </c>
      <c r="L35" s="2"/>
    </row>
    <row r="36" spans="2:12">
      <c r="B36" s="2"/>
      <c r="C36" s="32" t="s">
        <v>523</v>
      </c>
      <c r="D36" s="33"/>
      <c r="E36" s="51">
        <v>0</v>
      </c>
      <c r="F36" s="51">
        <v>0</v>
      </c>
      <c r="G36" s="51">
        <v>0</v>
      </c>
      <c r="H36" s="17">
        <f>0.12</f>
        <v>0.12</v>
      </c>
      <c r="I36" s="18">
        <f t="shared" si="0"/>
        <v>0</v>
      </c>
      <c r="J36" s="18">
        <f t="shared" si="1"/>
        <v>0</v>
      </c>
      <c r="K36" s="18">
        <f t="shared" si="2"/>
        <v>0</v>
      </c>
      <c r="L36" s="2"/>
    </row>
    <row r="37" spans="2:12">
      <c r="B37" s="2"/>
      <c r="C37" s="35" t="s">
        <v>254</v>
      </c>
      <c r="D37" s="36"/>
      <c r="E37" s="51">
        <v>0</v>
      </c>
      <c r="F37" s="51">
        <v>0</v>
      </c>
      <c r="G37" s="51">
        <v>0</v>
      </c>
      <c r="H37" s="18">
        <f>0</f>
        <v>0</v>
      </c>
      <c r="I37" s="18">
        <f t="shared" si="0"/>
        <v>0</v>
      </c>
      <c r="J37" s="18">
        <f t="shared" si="1"/>
        <v>0</v>
      </c>
      <c r="K37" s="18">
        <f t="shared" si="2"/>
        <v>0</v>
      </c>
      <c r="L37" s="2"/>
    </row>
    <row r="38" spans="2:12">
      <c r="B38" s="2"/>
      <c r="C38" s="35" t="s">
        <v>525</v>
      </c>
      <c r="D38" s="36"/>
      <c r="E38" s="51">
        <v>0</v>
      </c>
      <c r="F38" s="51">
        <v>0</v>
      </c>
      <c r="G38" s="51">
        <v>0</v>
      </c>
      <c r="H38" s="18">
        <f>0</f>
        <v>0</v>
      </c>
      <c r="I38" s="18">
        <f t="shared" si="0"/>
        <v>0</v>
      </c>
      <c r="J38" s="18">
        <f t="shared" si="1"/>
        <v>0</v>
      </c>
      <c r="K38" s="18">
        <f t="shared" si="2"/>
        <v>0</v>
      </c>
      <c r="L38" s="2"/>
    </row>
    <row r="39" spans="2:12">
      <c r="B39" s="2"/>
      <c r="C39" s="35" t="s">
        <v>526</v>
      </c>
      <c r="D39" s="36"/>
      <c r="E39" s="20">
        <f>IFERROR(E40, 0)+IFERROR(E41, 0)+IFERROR(E42, 0)+IFERROR(E43, 0)+IFERROR(E44, 0)</f>
        <v>0</v>
      </c>
      <c r="F39" s="20">
        <f>IFERROR(F40, 0)+IFERROR(F41, 0)+IFERROR(F42, 0)+IFERROR(F43, 0)+IFERROR(F44, 0)</f>
        <v>0</v>
      </c>
      <c r="G39" s="20">
        <f>IFERROR(G40, 0)+IFERROR(G41, 0)+IFERROR(G42, 0)+IFERROR(G43, 0)+IFERROR(G44, 0)</f>
        <v>0</v>
      </c>
      <c r="H39" s="18">
        <f>0</f>
        <v>0</v>
      </c>
      <c r="I39" s="18">
        <f t="shared" si="0"/>
        <v>0</v>
      </c>
      <c r="J39" s="18">
        <f t="shared" si="1"/>
        <v>0</v>
      </c>
      <c r="K39" s="18">
        <f t="shared" si="2"/>
        <v>0</v>
      </c>
      <c r="L39" s="2"/>
    </row>
    <row r="40" spans="2:12">
      <c r="B40" s="2"/>
      <c r="C40" s="32" t="s">
        <v>519</v>
      </c>
      <c r="D40" s="33"/>
      <c r="E40" s="51">
        <v>0</v>
      </c>
      <c r="F40" s="51">
        <v>0</v>
      </c>
      <c r="G40" s="51">
        <v>0</v>
      </c>
      <c r="H40" s="17">
        <f>0.016</f>
        <v>1.6E-2</v>
      </c>
      <c r="I40" s="18">
        <f t="shared" si="0"/>
        <v>0</v>
      </c>
      <c r="J40" s="18">
        <f t="shared" si="1"/>
        <v>0</v>
      </c>
      <c r="K40" s="18">
        <f t="shared" si="2"/>
        <v>0</v>
      </c>
      <c r="L40" s="2"/>
    </row>
    <row r="41" spans="2:12">
      <c r="B41" s="2"/>
      <c r="C41" s="32" t="s">
        <v>520</v>
      </c>
      <c r="D41" s="33"/>
      <c r="E41" s="51">
        <v>0</v>
      </c>
      <c r="F41" s="51">
        <v>0</v>
      </c>
      <c r="G41" s="51">
        <v>0</v>
      </c>
      <c r="H41" s="17">
        <f>0.028</f>
        <v>2.8000000000000001E-2</v>
      </c>
      <c r="I41" s="18">
        <f t="shared" si="0"/>
        <v>0</v>
      </c>
      <c r="J41" s="18">
        <f t="shared" si="1"/>
        <v>0</v>
      </c>
      <c r="K41" s="18">
        <f t="shared" si="2"/>
        <v>0</v>
      </c>
      <c r="L41" s="2"/>
    </row>
    <row r="42" spans="2:12">
      <c r="B42" s="2"/>
      <c r="C42" s="32" t="s">
        <v>521</v>
      </c>
      <c r="D42" s="33"/>
      <c r="E42" s="51">
        <v>0</v>
      </c>
      <c r="F42" s="51">
        <v>0</v>
      </c>
      <c r="G42" s="51">
        <v>0</v>
      </c>
      <c r="H42" s="17">
        <f>0.04</f>
        <v>0.04</v>
      </c>
      <c r="I42" s="18">
        <f t="shared" si="0"/>
        <v>0</v>
      </c>
      <c r="J42" s="18">
        <f t="shared" si="1"/>
        <v>0</v>
      </c>
      <c r="K42" s="18">
        <f t="shared" si="2"/>
        <v>0</v>
      </c>
      <c r="L42" s="2"/>
    </row>
    <row r="43" spans="2:12">
      <c r="B43" s="2"/>
      <c r="C43" s="32" t="s">
        <v>522</v>
      </c>
      <c r="D43" s="33"/>
      <c r="E43" s="51">
        <v>0</v>
      </c>
      <c r="F43" s="51">
        <v>0</v>
      </c>
      <c r="G43" s="51">
        <v>0</v>
      </c>
      <c r="H43" s="17">
        <f>0.06</f>
        <v>0.06</v>
      </c>
      <c r="I43" s="18">
        <f t="shared" si="0"/>
        <v>0</v>
      </c>
      <c r="J43" s="18">
        <f t="shared" si="1"/>
        <v>0</v>
      </c>
      <c r="K43" s="18">
        <f t="shared" si="2"/>
        <v>0</v>
      </c>
      <c r="L43" s="2"/>
    </row>
    <row r="44" spans="2:12">
      <c r="B44" s="2"/>
      <c r="C44" s="32" t="s">
        <v>523</v>
      </c>
      <c r="D44" s="33"/>
      <c r="E44" s="51">
        <v>0</v>
      </c>
      <c r="F44" s="51">
        <v>0</v>
      </c>
      <c r="G44" s="51">
        <v>0</v>
      </c>
      <c r="H44" s="17">
        <f>0.12</f>
        <v>0.12</v>
      </c>
      <c r="I44" s="18">
        <f t="shared" si="0"/>
        <v>0</v>
      </c>
      <c r="J44" s="18">
        <f t="shared" si="1"/>
        <v>0</v>
      </c>
      <c r="K44" s="18">
        <f t="shared" si="2"/>
        <v>0</v>
      </c>
      <c r="L44" s="2"/>
    </row>
    <row r="45" spans="2:12">
      <c r="B45" s="2"/>
      <c r="C45" s="35" t="s">
        <v>527</v>
      </c>
      <c r="D45" s="36"/>
      <c r="E45" s="51">
        <v>0</v>
      </c>
      <c r="F45" s="51">
        <v>0</v>
      </c>
      <c r="G45" s="51">
        <v>0</v>
      </c>
      <c r="H45" s="18">
        <f>0</f>
        <v>0</v>
      </c>
      <c r="I45" s="18">
        <f t="shared" si="0"/>
        <v>0</v>
      </c>
      <c r="J45" s="18">
        <f t="shared" si="1"/>
        <v>0</v>
      </c>
      <c r="K45" s="18">
        <f t="shared" si="2"/>
        <v>0</v>
      </c>
      <c r="L45" s="2"/>
    </row>
    <row r="46" spans="2:12">
      <c r="B46" s="2"/>
      <c r="C46" s="35" t="s">
        <v>261</v>
      </c>
      <c r="D46" s="36"/>
      <c r="E46" s="51">
        <v>0</v>
      </c>
      <c r="F46" s="51">
        <v>0</v>
      </c>
      <c r="G46" s="51">
        <v>0</v>
      </c>
      <c r="H46" s="17">
        <f>0.01</f>
        <v>0.01</v>
      </c>
      <c r="I46" s="18">
        <f t="shared" si="0"/>
        <v>0</v>
      </c>
      <c r="J46" s="18">
        <f t="shared" si="1"/>
        <v>0</v>
      </c>
      <c r="K46" s="18">
        <f t="shared" si="2"/>
        <v>0</v>
      </c>
      <c r="L46" s="2"/>
    </row>
    <row r="47" spans="2:12">
      <c r="B47" s="2"/>
      <c r="C47" s="35" t="s">
        <v>528</v>
      </c>
      <c r="D47" s="36"/>
      <c r="E47" s="20">
        <f>IFERROR(E48, 0)+IFERROR(E49, 0)+IFERROR(E50, 0)+IFERROR(E51, 0)</f>
        <v>0</v>
      </c>
      <c r="F47" s="20">
        <f>IFERROR(F48, 0)+IFERROR(F49, 0)+IFERROR(F50, 0)+IFERROR(F51, 0)</f>
        <v>0</v>
      </c>
      <c r="G47" s="20">
        <f>IFERROR(G48, 0)+IFERROR(G49, 0)+IFERROR(G50, 0)+IFERROR(G51, 0)</f>
        <v>0</v>
      </c>
      <c r="H47" s="18">
        <f>0</f>
        <v>0</v>
      </c>
      <c r="I47" s="18">
        <f t="shared" si="0"/>
        <v>0</v>
      </c>
      <c r="J47" s="18">
        <f t="shared" si="1"/>
        <v>0</v>
      </c>
      <c r="K47" s="18">
        <f t="shared" si="2"/>
        <v>0</v>
      </c>
      <c r="L47" s="2"/>
    </row>
    <row r="48" spans="2:12">
      <c r="B48" s="2"/>
      <c r="C48" s="32" t="s">
        <v>529</v>
      </c>
      <c r="D48" s="33"/>
      <c r="E48" s="51">
        <v>0</v>
      </c>
      <c r="F48" s="51">
        <v>0</v>
      </c>
      <c r="G48" s="51">
        <v>0</v>
      </c>
      <c r="H48" s="17">
        <f>0.016</f>
        <v>1.6E-2</v>
      </c>
      <c r="I48" s="18">
        <f t="shared" ref="I48:I79" si="3">E48*H48</f>
        <v>0</v>
      </c>
      <c r="J48" s="18">
        <f t="shared" ref="J48:J79" si="4">F48*H48</f>
        <v>0</v>
      </c>
      <c r="K48" s="18">
        <f t="shared" ref="K48:K79" si="5">G48*H48</f>
        <v>0</v>
      </c>
      <c r="L48" s="2"/>
    </row>
    <row r="49" spans="2:12">
      <c r="B49" s="2"/>
      <c r="C49" s="32" t="s">
        <v>530</v>
      </c>
      <c r="D49" s="33"/>
      <c r="E49" s="51">
        <v>0</v>
      </c>
      <c r="F49" s="51">
        <v>0</v>
      </c>
      <c r="G49" s="51">
        <v>0</v>
      </c>
      <c r="H49" s="17">
        <f>0.028</f>
        <v>2.8000000000000001E-2</v>
      </c>
      <c r="I49" s="18">
        <f t="shared" si="3"/>
        <v>0</v>
      </c>
      <c r="J49" s="18">
        <f t="shared" si="4"/>
        <v>0</v>
      </c>
      <c r="K49" s="18">
        <f t="shared" si="5"/>
        <v>0</v>
      </c>
      <c r="L49" s="2"/>
    </row>
    <row r="50" spans="2:12">
      <c r="B50" s="2"/>
      <c r="C50" s="32" t="s">
        <v>531</v>
      </c>
      <c r="D50" s="33"/>
      <c r="E50" s="51">
        <v>0</v>
      </c>
      <c r="F50" s="51">
        <v>0</v>
      </c>
      <c r="G50" s="51">
        <v>0</v>
      </c>
      <c r="H50" s="17">
        <f>0.04</f>
        <v>0.04</v>
      </c>
      <c r="I50" s="18">
        <f t="shared" si="3"/>
        <v>0</v>
      </c>
      <c r="J50" s="18">
        <f t="shared" si="4"/>
        <v>0</v>
      </c>
      <c r="K50" s="18">
        <f t="shared" si="5"/>
        <v>0</v>
      </c>
      <c r="L50" s="2"/>
    </row>
    <row r="51" spans="2:12">
      <c r="B51" s="2"/>
      <c r="C51" s="32" t="s">
        <v>532</v>
      </c>
      <c r="D51" s="33"/>
      <c r="E51" s="51">
        <v>0</v>
      </c>
      <c r="F51" s="51">
        <v>0</v>
      </c>
      <c r="G51" s="51">
        <v>0</v>
      </c>
      <c r="H51" s="17">
        <f>0.06</f>
        <v>0.06</v>
      </c>
      <c r="I51" s="18">
        <f t="shared" si="3"/>
        <v>0</v>
      </c>
      <c r="J51" s="18">
        <f t="shared" si="4"/>
        <v>0</v>
      </c>
      <c r="K51" s="18">
        <f t="shared" si="5"/>
        <v>0</v>
      </c>
      <c r="L51" s="2"/>
    </row>
    <row r="52" spans="2:12">
      <c r="B52" s="2"/>
      <c r="C52" s="35" t="s">
        <v>533</v>
      </c>
      <c r="D52" s="36"/>
      <c r="E52" s="20">
        <f>IFERROR(E53, 0)+IFERROR(E56, 0)+IFERROR(E59, 0)</f>
        <v>0</v>
      </c>
      <c r="F52" s="20">
        <f>IFERROR(F53, 0)+IFERROR(F56, 0)+IFERROR(F59, 0)</f>
        <v>0</v>
      </c>
      <c r="G52" s="20">
        <f>IFERROR(G53, 0)+IFERROR(G56, 0)+IFERROR(G59, 0)</f>
        <v>0</v>
      </c>
      <c r="H52" s="18">
        <f>0</f>
        <v>0</v>
      </c>
      <c r="I52" s="18">
        <f t="shared" si="3"/>
        <v>0</v>
      </c>
      <c r="J52" s="18">
        <f t="shared" si="4"/>
        <v>0</v>
      </c>
      <c r="K52" s="18">
        <f t="shared" si="5"/>
        <v>0</v>
      </c>
      <c r="L52" s="2"/>
    </row>
    <row r="53" spans="2:12">
      <c r="B53" s="2"/>
      <c r="C53" s="32" t="s">
        <v>534</v>
      </c>
      <c r="D53" s="33"/>
      <c r="E53" s="20">
        <f>IFERROR(E54, 0)+IFERROR(E55, 0)</f>
        <v>0</v>
      </c>
      <c r="F53" s="20">
        <f>IFERROR(F54, 0)+IFERROR(F55, 0)</f>
        <v>0</v>
      </c>
      <c r="G53" s="20">
        <f>IFERROR(G54, 0)+IFERROR(G55, 0)</f>
        <v>0</v>
      </c>
      <c r="H53" s="18">
        <f>0</f>
        <v>0</v>
      </c>
      <c r="I53" s="18">
        <f t="shared" si="3"/>
        <v>0</v>
      </c>
      <c r="J53" s="18">
        <f t="shared" si="4"/>
        <v>0</v>
      </c>
      <c r="K53" s="18">
        <f t="shared" si="5"/>
        <v>0</v>
      </c>
      <c r="L53" s="2"/>
    </row>
    <row r="54" spans="2:12">
      <c r="B54" s="2"/>
      <c r="C54" s="55" t="s">
        <v>535</v>
      </c>
      <c r="D54" s="56"/>
      <c r="E54" s="51">
        <v>0</v>
      </c>
      <c r="F54" s="51">
        <v>0</v>
      </c>
      <c r="G54" s="51">
        <v>0</v>
      </c>
      <c r="H54" s="17">
        <f>0.028</f>
        <v>2.8000000000000001E-2</v>
      </c>
      <c r="I54" s="18">
        <f t="shared" si="3"/>
        <v>0</v>
      </c>
      <c r="J54" s="18">
        <f t="shared" si="4"/>
        <v>0</v>
      </c>
      <c r="K54" s="18">
        <f t="shared" si="5"/>
        <v>0</v>
      </c>
      <c r="L54" s="2"/>
    </row>
    <row r="55" spans="2:12">
      <c r="B55" s="2"/>
      <c r="C55" s="55" t="s">
        <v>536</v>
      </c>
      <c r="D55" s="56"/>
      <c r="E55" s="51">
        <v>0</v>
      </c>
      <c r="F55" s="51">
        <v>0</v>
      </c>
      <c r="G55" s="51">
        <v>0</v>
      </c>
      <c r="H55" s="17">
        <f>0.04</f>
        <v>0.04</v>
      </c>
      <c r="I55" s="18">
        <f t="shared" si="3"/>
        <v>0</v>
      </c>
      <c r="J55" s="18">
        <f t="shared" si="4"/>
        <v>0</v>
      </c>
      <c r="K55" s="18">
        <f t="shared" si="5"/>
        <v>0</v>
      </c>
      <c r="L55" s="2"/>
    </row>
    <row r="56" spans="2:12">
      <c r="B56" s="2"/>
      <c r="C56" s="32" t="s">
        <v>537</v>
      </c>
      <c r="D56" s="33"/>
      <c r="E56" s="20">
        <f>IFERROR(E57, 0)+IFERROR(E58, 0)</f>
        <v>0</v>
      </c>
      <c r="F56" s="20">
        <f>IFERROR(F57, 0)+IFERROR(F58, 0)</f>
        <v>0</v>
      </c>
      <c r="G56" s="20">
        <f>IFERROR(G57, 0)+IFERROR(G58, 0)</f>
        <v>0</v>
      </c>
      <c r="H56" s="18">
        <f>0</f>
        <v>0</v>
      </c>
      <c r="I56" s="18">
        <f t="shared" si="3"/>
        <v>0</v>
      </c>
      <c r="J56" s="18">
        <f t="shared" si="4"/>
        <v>0</v>
      </c>
      <c r="K56" s="18">
        <f t="shared" si="5"/>
        <v>0</v>
      </c>
      <c r="L56" s="2"/>
    </row>
    <row r="57" spans="2:12">
      <c r="B57" s="2"/>
      <c r="C57" s="55" t="s">
        <v>535</v>
      </c>
      <c r="D57" s="56"/>
      <c r="E57" s="51">
        <v>0</v>
      </c>
      <c r="F57" s="51">
        <v>0</v>
      </c>
      <c r="G57" s="51">
        <v>0</v>
      </c>
      <c r="H57" s="17">
        <f>0.056</f>
        <v>5.6000000000000001E-2</v>
      </c>
      <c r="I57" s="18">
        <f t="shared" si="3"/>
        <v>0</v>
      </c>
      <c r="J57" s="18">
        <f t="shared" si="4"/>
        <v>0</v>
      </c>
      <c r="K57" s="18">
        <f t="shared" si="5"/>
        <v>0</v>
      </c>
      <c r="L57" s="2"/>
    </row>
    <row r="58" spans="2:12">
      <c r="B58" s="2"/>
      <c r="C58" s="55" t="s">
        <v>536</v>
      </c>
      <c r="D58" s="56"/>
      <c r="E58" s="51">
        <v>0</v>
      </c>
      <c r="F58" s="51">
        <v>0</v>
      </c>
      <c r="G58" s="51">
        <v>0</v>
      </c>
      <c r="H58" s="17">
        <f>0.08</f>
        <v>0.08</v>
      </c>
      <c r="I58" s="18">
        <f t="shared" si="3"/>
        <v>0</v>
      </c>
      <c r="J58" s="18">
        <f t="shared" si="4"/>
        <v>0</v>
      </c>
      <c r="K58" s="18">
        <f t="shared" si="5"/>
        <v>0</v>
      </c>
      <c r="L58" s="2"/>
    </row>
    <row r="59" spans="2:12">
      <c r="B59" s="2"/>
      <c r="C59" s="32" t="s">
        <v>538</v>
      </c>
      <c r="D59" s="33"/>
      <c r="E59" s="51">
        <v>0</v>
      </c>
      <c r="F59" s="51">
        <v>0</v>
      </c>
      <c r="G59" s="51">
        <v>0</v>
      </c>
      <c r="H59" s="17">
        <f>0.12</f>
        <v>0.12</v>
      </c>
      <c r="I59" s="18">
        <f t="shared" si="3"/>
        <v>0</v>
      </c>
      <c r="J59" s="18">
        <f t="shared" si="4"/>
        <v>0</v>
      </c>
      <c r="K59" s="18">
        <f t="shared" si="5"/>
        <v>0</v>
      </c>
      <c r="L59" s="2"/>
    </row>
    <row r="60" spans="2:12">
      <c r="B60" s="2"/>
      <c r="C60" s="35" t="s">
        <v>267</v>
      </c>
      <c r="D60" s="36"/>
      <c r="E60" s="20">
        <f>IFERROR(E61, 0)+IFERROR(E62, 0)+IFERROR(E63, 0)+IFERROR(E64, 0)+IFERROR(E65, 0)</f>
        <v>0</v>
      </c>
      <c r="F60" s="20">
        <f>IFERROR(F61, 0)+IFERROR(F62, 0)+IFERROR(F63, 0)+IFERROR(F64, 0)+IFERROR(F65, 0)</f>
        <v>0</v>
      </c>
      <c r="G60" s="20">
        <f>IFERROR(G61, 0)+IFERROR(G62, 0)+IFERROR(G63, 0)+IFERROR(G64, 0)+IFERROR(G65, 0)</f>
        <v>0</v>
      </c>
      <c r="H60" s="18">
        <f>0</f>
        <v>0</v>
      </c>
      <c r="I60" s="18">
        <f t="shared" si="3"/>
        <v>0</v>
      </c>
      <c r="J60" s="18">
        <f t="shared" si="4"/>
        <v>0</v>
      </c>
      <c r="K60" s="18">
        <f t="shared" si="5"/>
        <v>0</v>
      </c>
      <c r="L60" s="2"/>
    </row>
    <row r="61" spans="2:12">
      <c r="B61" s="2"/>
      <c r="C61" s="32" t="s">
        <v>519</v>
      </c>
      <c r="D61" s="33"/>
      <c r="E61" s="51">
        <v>0</v>
      </c>
      <c r="F61" s="51">
        <v>0</v>
      </c>
      <c r="G61" s="51">
        <v>0</v>
      </c>
      <c r="H61" s="18">
        <f>0</f>
        <v>0</v>
      </c>
      <c r="I61" s="18">
        <f t="shared" si="3"/>
        <v>0</v>
      </c>
      <c r="J61" s="18">
        <f t="shared" si="4"/>
        <v>0</v>
      </c>
      <c r="K61" s="18">
        <f t="shared" si="5"/>
        <v>0</v>
      </c>
      <c r="L61" s="2"/>
    </row>
    <row r="62" spans="2:12">
      <c r="B62" s="2"/>
      <c r="C62" s="32" t="s">
        <v>520</v>
      </c>
      <c r="D62" s="33"/>
      <c r="E62" s="51">
        <v>0</v>
      </c>
      <c r="F62" s="51">
        <v>0</v>
      </c>
      <c r="G62" s="51">
        <v>0</v>
      </c>
      <c r="H62" s="18">
        <f>0</f>
        <v>0</v>
      </c>
      <c r="I62" s="18">
        <f t="shared" si="3"/>
        <v>0</v>
      </c>
      <c r="J62" s="18">
        <f t="shared" si="4"/>
        <v>0</v>
      </c>
      <c r="K62" s="18">
        <f t="shared" si="5"/>
        <v>0</v>
      </c>
      <c r="L62" s="2"/>
    </row>
    <row r="63" spans="2:12">
      <c r="B63" s="2"/>
      <c r="C63" s="32" t="s">
        <v>521</v>
      </c>
      <c r="D63" s="33"/>
      <c r="E63" s="51">
        <v>0</v>
      </c>
      <c r="F63" s="51">
        <v>0</v>
      </c>
      <c r="G63" s="51">
        <v>0</v>
      </c>
      <c r="H63" s="18">
        <f>0</f>
        <v>0</v>
      </c>
      <c r="I63" s="18">
        <f t="shared" si="3"/>
        <v>0</v>
      </c>
      <c r="J63" s="18">
        <f t="shared" si="4"/>
        <v>0</v>
      </c>
      <c r="K63" s="18">
        <f t="shared" si="5"/>
        <v>0</v>
      </c>
      <c r="L63" s="2"/>
    </row>
    <row r="64" spans="2:12">
      <c r="B64" s="2"/>
      <c r="C64" s="32" t="s">
        <v>522</v>
      </c>
      <c r="D64" s="33"/>
      <c r="E64" s="51">
        <v>0</v>
      </c>
      <c r="F64" s="51">
        <v>0</v>
      </c>
      <c r="G64" s="51">
        <v>0</v>
      </c>
      <c r="H64" s="18">
        <f>0</f>
        <v>0</v>
      </c>
      <c r="I64" s="18">
        <f t="shared" si="3"/>
        <v>0</v>
      </c>
      <c r="J64" s="18">
        <f t="shared" si="4"/>
        <v>0</v>
      </c>
      <c r="K64" s="18">
        <f t="shared" si="5"/>
        <v>0</v>
      </c>
      <c r="L64" s="2"/>
    </row>
    <row r="65" spans="2:12">
      <c r="B65" s="2"/>
      <c r="C65" s="32" t="s">
        <v>523</v>
      </c>
      <c r="D65" s="33"/>
      <c r="E65" s="51">
        <v>0</v>
      </c>
      <c r="F65" s="51">
        <v>0</v>
      </c>
      <c r="G65" s="51">
        <v>0</v>
      </c>
      <c r="H65" s="18">
        <f>0</f>
        <v>0</v>
      </c>
      <c r="I65" s="18">
        <f t="shared" si="3"/>
        <v>0</v>
      </c>
      <c r="J65" s="18">
        <f t="shared" si="4"/>
        <v>0</v>
      </c>
      <c r="K65" s="18">
        <f t="shared" si="5"/>
        <v>0</v>
      </c>
      <c r="L65" s="2"/>
    </row>
    <row r="66" spans="2:12">
      <c r="B66" s="2"/>
      <c r="C66" s="37" t="s">
        <v>539</v>
      </c>
      <c r="D66" s="38"/>
      <c r="E66" s="20">
        <f>IFERROR(E67, 0)+IFERROR(E68, 0)+IFERROR(E69, 0)+IFERROR(E72, 0)+IFERROR(E80, 0)+IFERROR(E88, 0)+IFERROR(E96, 0)+IFERROR(E99, 0)</f>
        <v>0</v>
      </c>
      <c r="F66" s="20">
        <f>IFERROR(F67, 0)+IFERROR(F68, 0)+IFERROR(F69, 0)+IFERROR(F72, 0)+IFERROR(F80, 0)+IFERROR(F88, 0)+IFERROR(F96, 0)+IFERROR(F99, 0)</f>
        <v>0</v>
      </c>
      <c r="G66" s="20">
        <f>IFERROR(G67, 0)+IFERROR(G68, 0)+IFERROR(G69, 0)+IFERROR(G72, 0)+IFERROR(G80, 0)+IFERROR(G88, 0)+IFERROR(G96, 0)+IFERROR(G99, 0)</f>
        <v>0</v>
      </c>
      <c r="H66" s="18">
        <f>0</f>
        <v>0</v>
      </c>
      <c r="I66" s="18">
        <f t="shared" si="3"/>
        <v>0</v>
      </c>
      <c r="J66" s="18">
        <f t="shared" si="4"/>
        <v>0</v>
      </c>
      <c r="K66" s="18">
        <f t="shared" si="5"/>
        <v>0</v>
      </c>
      <c r="L66" s="2"/>
    </row>
    <row r="67" spans="2:12">
      <c r="B67" s="2"/>
      <c r="C67" s="35" t="s">
        <v>271</v>
      </c>
      <c r="D67" s="36"/>
      <c r="E67" s="51">
        <v>0</v>
      </c>
      <c r="F67" s="51">
        <v>0</v>
      </c>
      <c r="G67" s="51">
        <v>0</v>
      </c>
      <c r="H67" s="18">
        <f>0</f>
        <v>0</v>
      </c>
      <c r="I67" s="18">
        <f t="shared" si="3"/>
        <v>0</v>
      </c>
      <c r="J67" s="18">
        <f t="shared" si="4"/>
        <v>0</v>
      </c>
      <c r="K67" s="18">
        <f t="shared" si="5"/>
        <v>0</v>
      </c>
      <c r="L67" s="2"/>
    </row>
    <row r="68" spans="2:12">
      <c r="B68" s="2"/>
      <c r="C68" s="35" t="s">
        <v>540</v>
      </c>
      <c r="D68" s="36"/>
      <c r="E68" s="51">
        <v>0</v>
      </c>
      <c r="F68" s="51">
        <v>0</v>
      </c>
      <c r="G68" s="51">
        <v>0</v>
      </c>
      <c r="H68" s="17">
        <f>0.08</f>
        <v>0.08</v>
      </c>
      <c r="I68" s="18">
        <f t="shared" si="3"/>
        <v>0</v>
      </c>
      <c r="J68" s="18">
        <f t="shared" si="4"/>
        <v>0</v>
      </c>
      <c r="K68" s="18">
        <f t="shared" si="5"/>
        <v>0</v>
      </c>
      <c r="L68" s="2"/>
    </row>
    <row r="69" spans="2:12">
      <c r="B69" s="2"/>
      <c r="C69" s="35" t="s">
        <v>273</v>
      </c>
      <c r="D69" s="36"/>
      <c r="E69" s="20">
        <f>IFERROR(E70, 0)+IFERROR(E71, 0)</f>
        <v>0</v>
      </c>
      <c r="F69" s="20">
        <f>IFERROR(F70, 0)+IFERROR(F71, 0)</f>
        <v>0</v>
      </c>
      <c r="G69" s="20">
        <f>IFERROR(G70, 0)+IFERROR(G71, 0)</f>
        <v>0</v>
      </c>
      <c r="H69" s="18">
        <f>0</f>
        <v>0</v>
      </c>
      <c r="I69" s="18">
        <f t="shared" si="3"/>
        <v>0</v>
      </c>
      <c r="J69" s="18">
        <f t="shared" si="4"/>
        <v>0</v>
      </c>
      <c r="K69" s="18">
        <f t="shared" si="5"/>
        <v>0</v>
      </c>
      <c r="L69" s="2"/>
    </row>
    <row r="70" spans="2:12">
      <c r="B70" s="2"/>
      <c r="C70" s="32" t="s">
        <v>541</v>
      </c>
      <c r="D70" s="33"/>
      <c r="E70" s="51">
        <v>0</v>
      </c>
      <c r="F70" s="51">
        <v>0</v>
      </c>
      <c r="G70" s="51">
        <v>0</v>
      </c>
      <c r="H70" s="18">
        <f>0</f>
        <v>0</v>
      </c>
      <c r="I70" s="18">
        <f t="shared" si="3"/>
        <v>0</v>
      </c>
      <c r="J70" s="18">
        <f t="shared" si="4"/>
        <v>0</v>
      </c>
      <c r="K70" s="18">
        <f t="shared" si="5"/>
        <v>0</v>
      </c>
      <c r="L70" s="2"/>
    </row>
    <row r="71" spans="2:12">
      <c r="B71" s="2"/>
      <c r="C71" s="32" t="s">
        <v>542</v>
      </c>
      <c r="D71" s="33"/>
      <c r="E71" s="51">
        <v>0</v>
      </c>
      <c r="F71" s="51">
        <v>0</v>
      </c>
      <c r="G71" s="51">
        <v>0</v>
      </c>
      <c r="H71" s="17">
        <f>0.3</f>
        <v>0.3</v>
      </c>
      <c r="I71" s="18">
        <f t="shared" si="3"/>
        <v>0</v>
      </c>
      <c r="J71" s="18">
        <f t="shared" si="4"/>
        <v>0</v>
      </c>
      <c r="K71" s="18">
        <f t="shared" si="5"/>
        <v>0</v>
      </c>
      <c r="L71" s="2"/>
    </row>
    <row r="72" spans="2:12">
      <c r="B72" s="2"/>
      <c r="C72" s="35" t="s">
        <v>543</v>
      </c>
      <c r="D72" s="36"/>
      <c r="E72" s="20">
        <f>IFERROR(E73, 0)+IFERROR(E74, 0)</f>
        <v>0</v>
      </c>
      <c r="F72" s="20">
        <f>IFERROR(F73, 0)+IFERROR(F74, 0)</f>
        <v>0</v>
      </c>
      <c r="G72" s="20">
        <f>IFERROR(G73, 0)+IFERROR(G74, 0)</f>
        <v>0</v>
      </c>
      <c r="H72" s="18">
        <f>0</f>
        <v>0</v>
      </c>
      <c r="I72" s="18">
        <f t="shared" si="3"/>
        <v>0</v>
      </c>
      <c r="J72" s="18">
        <f t="shared" si="4"/>
        <v>0</v>
      </c>
      <c r="K72" s="18">
        <f t="shared" si="5"/>
        <v>0</v>
      </c>
      <c r="L72" s="2"/>
    </row>
    <row r="73" spans="2:12">
      <c r="B73" s="2"/>
      <c r="C73" s="32" t="s">
        <v>544</v>
      </c>
      <c r="D73" s="33"/>
      <c r="E73" s="51">
        <v>0</v>
      </c>
      <c r="F73" s="51">
        <v>0</v>
      </c>
      <c r="G73" s="51">
        <v>0</v>
      </c>
      <c r="H73" s="17">
        <f>0.028</f>
        <v>2.8000000000000001E-2</v>
      </c>
      <c r="I73" s="18">
        <f t="shared" si="3"/>
        <v>0</v>
      </c>
      <c r="J73" s="18">
        <f t="shared" si="4"/>
        <v>0</v>
      </c>
      <c r="K73" s="18">
        <f t="shared" si="5"/>
        <v>0</v>
      </c>
      <c r="L73" s="2"/>
    </row>
    <row r="74" spans="2:12">
      <c r="B74" s="2"/>
      <c r="C74" s="32" t="s">
        <v>545</v>
      </c>
      <c r="D74" s="33"/>
      <c r="E74" s="20">
        <f>IFERROR(E75, 0)+IFERROR(E76, 0)+IFERROR(E77, 0)+IFERROR(E78, 0)+IFERROR(E79, 0)</f>
        <v>0</v>
      </c>
      <c r="F74" s="20">
        <f>IFERROR(F75, 0)+IFERROR(F76, 0)+IFERROR(F77, 0)+IFERROR(F78, 0)+IFERROR(F79, 0)</f>
        <v>0</v>
      </c>
      <c r="G74" s="20">
        <f>IFERROR(G75, 0)+IFERROR(G76, 0)+IFERROR(G77, 0)+IFERROR(G78, 0)+IFERROR(G79, 0)</f>
        <v>0</v>
      </c>
      <c r="H74" s="18">
        <f>0</f>
        <v>0</v>
      </c>
      <c r="I74" s="18">
        <f t="shared" si="3"/>
        <v>0</v>
      </c>
      <c r="J74" s="18">
        <f t="shared" si="4"/>
        <v>0</v>
      </c>
      <c r="K74" s="18">
        <f t="shared" si="5"/>
        <v>0</v>
      </c>
      <c r="L74" s="2"/>
    </row>
    <row r="75" spans="2:12">
      <c r="B75" s="2"/>
      <c r="C75" s="55" t="s">
        <v>519</v>
      </c>
      <c r="D75" s="56"/>
      <c r="E75" s="51">
        <v>0</v>
      </c>
      <c r="F75" s="51">
        <v>0</v>
      </c>
      <c r="G75" s="51">
        <v>0</v>
      </c>
      <c r="H75" s="17">
        <f>0.028</f>
        <v>2.8000000000000001E-2</v>
      </c>
      <c r="I75" s="18">
        <f t="shared" si="3"/>
        <v>0</v>
      </c>
      <c r="J75" s="18">
        <f t="shared" si="4"/>
        <v>0</v>
      </c>
      <c r="K75" s="18">
        <f t="shared" si="5"/>
        <v>0</v>
      </c>
      <c r="L75" s="2"/>
    </row>
    <row r="76" spans="2:12">
      <c r="B76" s="2"/>
      <c r="C76" s="55" t="s">
        <v>520</v>
      </c>
      <c r="D76" s="56"/>
      <c r="E76" s="51">
        <v>0</v>
      </c>
      <c r="F76" s="51">
        <v>0</v>
      </c>
      <c r="G76" s="51">
        <v>0</v>
      </c>
      <c r="H76" s="17">
        <f>0.04</f>
        <v>0.04</v>
      </c>
      <c r="I76" s="18">
        <f t="shared" si="3"/>
        <v>0</v>
      </c>
      <c r="J76" s="18">
        <f t="shared" si="4"/>
        <v>0</v>
      </c>
      <c r="K76" s="18">
        <f t="shared" si="5"/>
        <v>0</v>
      </c>
      <c r="L76" s="2"/>
    </row>
    <row r="77" spans="2:12">
      <c r="B77" s="2"/>
      <c r="C77" s="55" t="s">
        <v>521</v>
      </c>
      <c r="D77" s="56"/>
      <c r="E77" s="51">
        <v>0</v>
      </c>
      <c r="F77" s="51">
        <v>0</v>
      </c>
      <c r="G77" s="51">
        <v>0</v>
      </c>
      <c r="H77" s="17">
        <f>0.06</f>
        <v>0.06</v>
      </c>
      <c r="I77" s="18">
        <f t="shared" si="3"/>
        <v>0</v>
      </c>
      <c r="J77" s="18">
        <f t="shared" si="4"/>
        <v>0</v>
      </c>
      <c r="K77" s="18">
        <f t="shared" si="5"/>
        <v>0</v>
      </c>
      <c r="L77" s="2"/>
    </row>
    <row r="78" spans="2:12">
      <c r="B78" s="2"/>
      <c r="C78" s="55" t="s">
        <v>522</v>
      </c>
      <c r="D78" s="56"/>
      <c r="E78" s="51">
        <v>0</v>
      </c>
      <c r="F78" s="51">
        <v>0</v>
      </c>
      <c r="G78" s="51">
        <v>0</v>
      </c>
      <c r="H78" s="17">
        <f>0.12</f>
        <v>0.12</v>
      </c>
      <c r="I78" s="18">
        <f t="shared" si="3"/>
        <v>0</v>
      </c>
      <c r="J78" s="18">
        <f t="shared" si="4"/>
        <v>0</v>
      </c>
      <c r="K78" s="18">
        <f t="shared" si="5"/>
        <v>0</v>
      </c>
      <c r="L78" s="2"/>
    </row>
    <row r="79" spans="2:12">
      <c r="B79" s="2"/>
      <c r="C79" s="55" t="s">
        <v>523</v>
      </c>
      <c r="D79" s="56"/>
      <c r="E79" s="51">
        <v>0</v>
      </c>
      <c r="F79" s="51">
        <v>0</v>
      </c>
      <c r="G79" s="51">
        <v>0</v>
      </c>
      <c r="H79" s="17">
        <f>0.15</f>
        <v>0.15</v>
      </c>
      <c r="I79" s="18">
        <f t="shared" si="3"/>
        <v>0</v>
      </c>
      <c r="J79" s="18">
        <f t="shared" si="4"/>
        <v>0</v>
      </c>
      <c r="K79" s="18">
        <f t="shared" si="5"/>
        <v>0</v>
      </c>
      <c r="L79" s="2"/>
    </row>
    <row r="80" spans="2:12">
      <c r="B80" s="2"/>
      <c r="C80" s="35" t="s">
        <v>546</v>
      </c>
      <c r="D80" s="36"/>
      <c r="E80" s="20">
        <f>IFERROR(E81, 0)+IFERROR(E82, 0)</f>
        <v>0</v>
      </c>
      <c r="F80" s="20">
        <f>IFERROR(F81, 0)+IFERROR(F82, 0)</f>
        <v>0</v>
      </c>
      <c r="G80" s="20">
        <f>IFERROR(G81, 0)+IFERROR(G82, 0)</f>
        <v>0</v>
      </c>
      <c r="H80" s="18">
        <f>0</f>
        <v>0</v>
      </c>
      <c r="I80" s="18">
        <f t="shared" ref="I80:I99" si="6">E80*H80</f>
        <v>0</v>
      </c>
      <c r="J80" s="18">
        <f t="shared" ref="J80:J99" si="7">F80*H80</f>
        <v>0</v>
      </c>
      <c r="K80" s="18">
        <f t="shared" ref="K80:K99" si="8">G80*H80</f>
        <v>0</v>
      </c>
      <c r="L80" s="2"/>
    </row>
    <row r="81" spans="2:12">
      <c r="B81" s="2"/>
      <c r="C81" s="32" t="s">
        <v>544</v>
      </c>
      <c r="D81" s="33"/>
      <c r="E81" s="51">
        <v>0</v>
      </c>
      <c r="F81" s="51">
        <v>0</v>
      </c>
      <c r="G81" s="51">
        <v>0</v>
      </c>
      <c r="H81" s="17">
        <f>0.028</f>
        <v>2.8000000000000001E-2</v>
      </c>
      <c r="I81" s="18">
        <f t="shared" si="6"/>
        <v>0</v>
      </c>
      <c r="J81" s="18">
        <f t="shared" si="7"/>
        <v>0</v>
      </c>
      <c r="K81" s="18">
        <f t="shared" si="8"/>
        <v>0</v>
      </c>
      <c r="L81" s="2"/>
    </row>
    <row r="82" spans="2:12">
      <c r="B82" s="2"/>
      <c r="C82" s="32" t="s">
        <v>547</v>
      </c>
      <c r="D82" s="33"/>
      <c r="E82" s="20">
        <f>IFERROR(E83, 0)+IFERROR(E84, 0)+IFERROR(E85, 0)+IFERROR(E86, 0)+IFERROR(E87, 0)</f>
        <v>0</v>
      </c>
      <c r="F82" s="20">
        <f>IFERROR(F83, 0)+IFERROR(F84, 0)+IFERROR(F85, 0)+IFERROR(F86, 0)+IFERROR(F87, 0)</f>
        <v>0</v>
      </c>
      <c r="G82" s="20">
        <f>IFERROR(G83, 0)+IFERROR(G84, 0)+IFERROR(G85, 0)+IFERROR(G86, 0)+IFERROR(G87, 0)</f>
        <v>0</v>
      </c>
      <c r="H82" s="18">
        <f>0</f>
        <v>0</v>
      </c>
      <c r="I82" s="18">
        <f t="shared" si="6"/>
        <v>0</v>
      </c>
      <c r="J82" s="18">
        <f t="shared" si="7"/>
        <v>0</v>
      </c>
      <c r="K82" s="18">
        <f t="shared" si="8"/>
        <v>0</v>
      </c>
      <c r="L82" s="2"/>
    </row>
    <row r="83" spans="2:12">
      <c r="B83" s="2"/>
      <c r="C83" s="55" t="s">
        <v>548</v>
      </c>
      <c r="D83" s="56"/>
      <c r="E83" s="51">
        <v>0</v>
      </c>
      <c r="F83" s="51">
        <v>0</v>
      </c>
      <c r="G83" s="51">
        <v>0</v>
      </c>
      <c r="H83" s="17">
        <f>0.028</f>
        <v>2.8000000000000001E-2</v>
      </c>
      <c r="I83" s="18">
        <f t="shared" si="6"/>
        <v>0</v>
      </c>
      <c r="J83" s="18">
        <f t="shared" si="7"/>
        <v>0</v>
      </c>
      <c r="K83" s="18">
        <f t="shared" si="8"/>
        <v>0</v>
      </c>
      <c r="L83" s="2"/>
    </row>
    <row r="84" spans="2:12">
      <c r="B84" s="2"/>
      <c r="C84" s="55" t="s">
        <v>549</v>
      </c>
      <c r="D84" s="56"/>
      <c r="E84" s="51">
        <v>0</v>
      </c>
      <c r="F84" s="51">
        <v>0</v>
      </c>
      <c r="G84" s="51">
        <v>0</v>
      </c>
      <c r="H84" s="17">
        <f>0.04</f>
        <v>0.04</v>
      </c>
      <c r="I84" s="18">
        <f t="shared" si="6"/>
        <v>0</v>
      </c>
      <c r="J84" s="18">
        <f t="shared" si="7"/>
        <v>0</v>
      </c>
      <c r="K84" s="18">
        <f t="shared" si="8"/>
        <v>0</v>
      </c>
      <c r="L84" s="2"/>
    </row>
    <row r="85" spans="2:12">
      <c r="B85" s="2"/>
      <c r="C85" s="55" t="s">
        <v>550</v>
      </c>
      <c r="D85" s="56"/>
      <c r="E85" s="51">
        <v>0</v>
      </c>
      <c r="F85" s="51">
        <v>0</v>
      </c>
      <c r="G85" s="51">
        <v>0</v>
      </c>
      <c r="H85" s="17">
        <f>0.06</f>
        <v>0.06</v>
      </c>
      <c r="I85" s="18">
        <f t="shared" si="6"/>
        <v>0</v>
      </c>
      <c r="J85" s="18">
        <f t="shared" si="7"/>
        <v>0</v>
      </c>
      <c r="K85" s="18">
        <f t="shared" si="8"/>
        <v>0</v>
      </c>
      <c r="L85" s="2"/>
    </row>
    <row r="86" spans="2:12">
      <c r="B86" s="2"/>
      <c r="C86" s="55" t="s">
        <v>551</v>
      </c>
      <c r="D86" s="56"/>
      <c r="E86" s="51">
        <v>0</v>
      </c>
      <c r="F86" s="51">
        <v>0</v>
      </c>
      <c r="G86" s="51">
        <v>0</v>
      </c>
      <c r="H86" s="17">
        <f>0.12</f>
        <v>0.12</v>
      </c>
      <c r="I86" s="18">
        <f t="shared" si="6"/>
        <v>0</v>
      </c>
      <c r="J86" s="18">
        <f t="shared" si="7"/>
        <v>0</v>
      </c>
      <c r="K86" s="18">
        <f t="shared" si="8"/>
        <v>0</v>
      </c>
      <c r="L86" s="2"/>
    </row>
    <row r="87" spans="2:12">
      <c r="B87" s="2"/>
      <c r="C87" s="55" t="s">
        <v>552</v>
      </c>
      <c r="D87" s="56"/>
      <c r="E87" s="51">
        <v>0</v>
      </c>
      <c r="F87" s="51">
        <v>0</v>
      </c>
      <c r="G87" s="51">
        <v>0</v>
      </c>
      <c r="H87" s="17">
        <f>0.15</f>
        <v>0.15</v>
      </c>
      <c r="I87" s="18">
        <f t="shared" si="6"/>
        <v>0</v>
      </c>
      <c r="J87" s="18">
        <f t="shared" si="7"/>
        <v>0</v>
      </c>
      <c r="K87" s="18">
        <f t="shared" si="8"/>
        <v>0</v>
      </c>
      <c r="L87" s="2"/>
    </row>
    <row r="88" spans="2:12">
      <c r="B88" s="2"/>
      <c r="C88" s="35" t="s">
        <v>553</v>
      </c>
      <c r="D88" s="36"/>
      <c r="E88" s="20">
        <f>IFERROR(E89, 0)+IFERROR(E90, 0)</f>
        <v>0</v>
      </c>
      <c r="F88" s="20">
        <f>IFERROR(F89, 0)+IFERROR(F90, 0)</f>
        <v>0</v>
      </c>
      <c r="G88" s="20">
        <f>IFERROR(G89, 0)+IFERROR(G90, 0)</f>
        <v>0</v>
      </c>
      <c r="H88" s="18">
        <f>0</f>
        <v>0</v>
      </c>
      <c r="I88" s="18">
        <f t="shared" si="6"/>
        <v>0</v>
      </c>
      <c r="J88" s="18">
        <f t="shared" si="7"/>
        <v>0</v>
      </c>
      <c r="K88" s="18">
        <f t="shared" si="8"/>
        <v>0</v>
      </c>
      <c r="L88" s="2"/>
    </row>
    <row r="89" spans="2:12">
      <c r="B89" s="2"/>
      <c r="C89" s="32" t="s">
        <v>544</v>
      </c>
      <c r="D89" s="33"/>
      <c r="E89" s="51">
        <v>0</v>
      </c>
      <c r="F89" s="51">
        <v>0</v>
      </c>
      <c r="G89" s="51">
        <v>0</v>
      </c>
      <c r="H89" s="17">
        <f>0.028</f>
        <v>2.8000000000000001E-2</v>
      </c>
      <c r="I89" s="18">
        <f t="shared" si="6"/>
        <v>0</v>
      </c>
      <c r="J89" s="18">
        <f t="shared" si="7"/>
        <v>0</v>
      </c>
      <c r="K89" s="18">
        <f t="shared" si="8"/>
        <v>0</v>
      </c>
      <c r="L89" s="2"/>
    </row>
    <row r="90" spans="2:12">
      <c r="B90" s="2"/>
      <c r="C90" s="32" t="s">
        <v>545</v>
      </c>
      <c r="D90" s="33"/>
      <c r="E90" s="20">
        <f>IFERROR(E91, 0)+IFERROR(E92, 0)+IFERROR(E93, 0)+IFERROR(E94, 0)+IFERROR(E95, 0)</f>
        <v>0</v>
      </c>
      <c r="F90" s="20">
        <f>IFERROR(F91, 0)+IFERROR(F92, 0)+IFERROR(F93, 0)+IFERROR(F94, 0)+IFERROR(F95, 0)</f>
        <v>0</v>
      </c>
      <c r="G90" s="20">
        <f>IFERROR(G91, 0)+IFERROR(G92, 0)+IFERROR(G93, 0)+IFERROR(G94, 0)+IFERROR(G95, 0)</f>
        <v>0</v>
      </c>
      <c r="H90" s="18">
        <f>0</f>
        <v>0</v>
      </c>
      <c r="I90" s="18">
        <f t="shared" si="6"/>
        <v>0</v>
      </c>
      <c r="J90" s="18">
        <f t="shared" si="7"/>
        <v>0</v>
      </c>
      <c r="K90" s="18">
        <f t="shared" si="8"/>
        <v>0</v>
      </c>
      <c r="L90" s="2"/>
    </row>
    <row r="91" spans="2:12">
      <c r="B91" s="2"/>
      <c r="C91" s="55" t="s">
        <v>519</v>
      </c>
      <c r="D91" s="56"/>
      <c r="E91" s="51">
        <v>0</v>
      </c>
      <c r="F91" s="51">
        <v>0</v>
      </c>
      <c r="G91" s="51">
        <v>0</v>
      </c>
      <c r="H91" s="17">
        <f>0.028</f>
        <v>2.8000000000000001E-2</v>
      </c>
      <c r="I91" s="18">
        <f t="shared" si="6"/>
        <v>0</v>
      </c>
      <c r="J91" s="18">
        <f t="shared" si="7"/>
        <v>0</v>
      </c>
      <c r="K91" s="18">
        <f t="shared" si="8"/>
        <v>0</v>
      </c>
      <c r="L91" s="2"/>
    </row>
    <row r="92" spans="2:12">
      <c r="B92" s="2"/>
      <c r="C92" s="55" t="s">
        <v>520</v>
      </c>
      <c r="D92" s="56"/>
      <c r="E92" s="51">
        <v>0</v>
      </c>
      <c r="F92" s="51">
        <v>0</v>
      </c>
      <c r="G92" s="51">
        <v>0</v>
      </c>
      <c r="H92" s="17">
        <f>0.04</f>
        <v>0.04</v>
      </c>
      <c r="I92" s="18">
        <f t="shared" si="6"/>
        <v>0</v>
      </c>
      <c r="J92" s="18">
        <f t="shared" si="7"/>
        <v>0</v>
      </c>
      <c r="K92" s="18">
        <f t="shared" si="8"/>
        <v>0</v>
      </c>
      <c r="L92" s="2"/>
    </row>
    <row r="93" spans="2:12">
      <c r="B93" s="2"/>
      <c r="C93" s="55" t="s">
        <v>521</v>
      </c>
      <c r="D93" s="56"/>
      <c r="E93" s="51">
        <v>0</v>
      </c>
      <c r="F93" s="51">
        <v>0</v>
      </c>
      <c r="G93" s="51">
        <v>0</v>
      </c>
      <c r="H93" s="17">
        <f>0.06</f>
        <v>0.06</v>
      </c>
      <c r="I93" s="18">
        <f t="shared" si="6"/>
        <v>0</v>
      </c>
      <c r="J93" s="18">
        <f t="shared" si="7"/>
        <v>0</v>
      </c>
      <c r="K93" s="18">
        <f t="shared" si="8"/>
        <v>0</v>
      </c>
      <c r="L93" s="2"/>
    </row>
    <row r="94" spans="2:12">
      <c r="B94" s="2"/>
      <c r="C94" s="55" t="s">
        <v>522</v>
      </c>
      <c r="D94" s="56"/>
      <c r="E94" s="51">
        <v>0</v>
      </c>
      <c r="F94" s="51">
        <v>0</v>
      </c>
      <c r="G94" s="51">
        <v>0</v>
      </c>
      <c r="H94" s="17">
        <f>0.12</f>
        <v>0.12</v>
      </c>
      <c r="I94" s="18">
        <f t="shared" si="6"/>
        <v>0</v>
      </c>
      <c r="J94" s="18">
        <f t="shared" si="7"/>
        <v>0</v>
      </c>
      <c r="K94" s="18">
        <f t="shared" si="8"/>
        <v>0</v>
      </c>
      <c r="L94" s="2"/>
    </row>
    <row r="95" spans="2:12">
      <c r="B95" s="2"/>
      <c r="C95" s="55" t="s">
        <v>523</v>
      </c>
      <c r="D95" s="56"/>
      <c r="E95" s="51">
        <v>0</v>
      </c>
      <c r="F95" s="51">
        <v>0</v>
      </c>
      <c r="G95" s="51">
        <v>0</v>
      </c>
      <c r="H95" s="17">
        <f>0.15</f>
        <v>0.15</v>
      </c>
      <c r="I95" s="18">
        <f t="shared" si="6"/>
        <v>0</v>
      </c>
      <c r="J95" s="18">
        <f t="shared" si="7"/>
        <v>0</v>
      </c>
      <c r="K95" s="18">
        <f t="shared" si="8"/>
        <v>0</v>
      </c>
      <c r="L95" s="2"/>
    </row>
    <row r="96" spans="2:12">
      <c r="B96" s="2"/>
      <c r="C96" s="35" t="s">
        <v>427</v>
      </c>
      <c r="D96" s="36"/>
      <c r="E96" s="20">
        <f>IFERROR(E97, 0)+IFERROR(E98, 0)</f>
        <v>0</v>
      </c>
      <c r="F96" s="20">
        <f>IFERROR(F97, 0)+IFERROR(F98, 0)</f>
        <v>0</v>
      </c>
      <c r="G96" s="20">
        <f>IFERROR(G97, 0)+IFERROR(G98, 0)</f>
        <v>0</v>
      </c>
      <c r="H96" s="18">
        <f>0</f>
        <v>0</v>
      </c>
      <c r="I96" s="18">
        <f t="shared" si="6"/>
        <v>0</v>
      </c>
      <c r="J96" s="18">
        <f t="shared" si="7"/>
        <v>0</v>
      </c>
      <c r="K96" s="18">
        <f t="shared" si="8"/>
        <v>0</v>
      </c>
      <c r="L96" s="2"/>
    </row>
    <row r="97" spans="2:12">
      <c r="B97" s="2"/>
      <c r="C97" s="32" t="s">
        <v>554</v>
      </c>
      <c r="D97" s="33"/>
      <c r="E97" s="51">
        <v>0</v>
      </c>
      <c r="F97" s="51">
        <v>0</v>
      </c>
      <c r="G97" s="51">
        <v>0</v>
      </c>
      <c r="H97" s="17">
        <f>0.02</f>
        <v>0.02</v>
      </c>
      <c r="I97" s="18">
        <f t="shared" si="6"/>
        <v>0</v>
      </c>
      <c r="J97" s="18">
        <f t="shared" si="7"/>
        <v>0</v>
      </c>
      <c r="K97" s="18">
        <f t="shared" si="8"/>
        <v>0</v>
      </c>
      <c r="L97" s="2"/>
    </row>
    <row r="98" spans="2:12">
      <c r="B98" s="2"/>
      <c r="C98" s="32" t="s">
        <v>555</v>
      </c>
      <c r="D98" s="33"/>
      <c r="E98" s="51">
        <v>0</v>
      </c>
      <c r="F98" s="51">
        <v>0</v>
      </c>
      <c r="G98" s="51">
        <v>0</v>
      </c>
      <c r="H98" s="17">
        <f>0.25</f>
        <v>0.25</v>
      </c>
      <c r="I98" s="18">
        <f t="shared" si="6"/>
        <v>0</v>
      </c>
      <c r="J98" s="18">
        <f t="shared" si="7"/>
        <v>0</v>
      </c>
      <c r="K98" s="18">
        <f t="shared" si="8"/>
        <v>0</v>
      </c>
      <c r="L98" s="2"/>
    </row>
    <row r="99" spans="2:12">
      <c r="B99" s="2"/>
      <c r="C99" s="35" t="s">
        <v>426</v>
      </c>
      <c r="D99" s="36"/>
      <c r="E99" s="51">
        <v>0</v>
      </c>
      <c r="F99" s="51">
        <v>0</v>
      </c>
      <c r="G99" s="51">
        <v>0</v>
      </c>
      <c r="H99" s="17">
        <f>0.02</f>
        <v>0.02</v>
      </c>
      <c r="I99" s="18">
        <f t="shared" si="6"/>
        <v>0</v>
      </c>
      <c r="J99" s="18">
        <f t="shared" si="7"/>
        <v>0</v>
      </c>
      <c r="K99" s="18">
        <f t="shared" si="8"/>
        <v>0</v>
      </c>
      <c r="L99" s="2"/>
    </row>
    <row r="100" spans="2:12">
      <c r="B100" s="2"/>
      <c r="C100" s="37" t="s">
        <v>233</v>
      </c>
      <c r="D100" s="38"/>
      <c r="E100" s="18">
        <f>E16+E66</f>
        <v>0</v>
      </c>
      <c r="F100" s="18">
        <f>F16+F66</f>
        <v>0</v>
      </c>
      <c r="G100" s="18">
        <f>G16+G66</f>
        <v>0</v>
      </c>
      <c r="H100" s="21">
        <f>0</f>
        <v>0</v>
      </c>
      <c r="I100" s="18">
        <f>SUM(I16:I99)</f>
        <v>0</v>
      </c>
      <c r="J100" s="18">
        <f>SUM(J16:J99)</f>
        <v>0</v>
      </c>
      <c r="K100" s="18">
        <f>SUM(K16:K99)</f>
        <v>0</v>
      </c>
      <c r="L100" s="2"/>
    </row>
    <row r="101" spans="2: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5.0999999999999996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</sheetData>
  <sheetProtection sheet="1" formatColumns="0" formatRows="0" selectLockedCells="1"/>
  <mergeCells count="296">
    <mergeCell ref="C7:K7"/>
    <mergeCell ref="C9:K9"/>
    <mergeCell ref="C10:K10"/>
    <mergeCell ref="C11:K11"/>
    <mergeCell ref="C13:K13"/>
    <mergeCell ref="C16:D16"/>
    <mergeCell ref="C17:D17"/>
    <mergeCell ref="E17"/>
    <mergeCell ref="F17"/>
    <mergeCell ref="G17"/>
    <mergeCell ref="H15"/>
    <mergeCell ref="H14"/>
    <mergeCell ref="I15"/>
    <mergeCell ref="J15"/>
    <mergeCell ref="I14:K14"/>
    <mergeCell ref="K15"/>
    <mergeCell ref="C14:D15"/>
    <mergeCell ref="E15"/>
    <mergeCell ref="F15"/>
    <mergeCell ref="G15"/>
    <mergeCell ref="E14:G14"/>
    <mergeCell ref="C20:D20"/>
    <mergeCell ref="E20"/>
    <mergeCell ref="F20"/>
    <mergeCell ref="G20"/>
    <mergeCell ref="C21:D21"/>
    <mergeCell ref="E21"/>
    <mergeCell ref="F21"/>
    <mergeCell ref="G21"/>
    <mergeCell ref="C18:D18"/>
    <mergeCell ref="E18"/>
    <mergeCell ref="F18"/>
    <mergeCell ref="G18"/>
    <mergeCell ref="C19:D19"/>
    <mergeCell ref="C24:D24"/>
    <mergeCell ref="E24"/>
    <mergeCell ref="F24"/>
    <mergeCell ref="G24"/>
    <mergeCell ref="C25:D25"/>
    <mergeCell ref="C22:D22"/>
    <mergeCell ref="E22"/>
    <mergeCell ref="F22"/>
    <mergeCell ref="G22"/>
    <mergeCell ref="C23:D23"/>
    <mergeCell ref="E23"/>
    <mergeCell ref="F23"/>
    <mergeCell ref="G23"/>
    <mergeCell ref="C28:D28"/>
    <mergeCell ref="E28"/>
    <mergeCell ref="F28"/>
    <mergeCell ref="G28"/>
    <mergeCell ref="C29:D29"/>
    <mergeCell ref="E29"/>
    <mergeCell ref="F29"/>
    <mergeCell ref="G29"/>
    <mergeCell ref="C26:D26"/>
    <mergeCell ref="E26"/>
    <mergeCell ref="F26"/>
    <mergeCell ref="G26"/>
    <mergeCell ref="C27:D27"/>
    <mergeCell ref="E27"/>
    <mergeCell ref="F27"/>
    <mergeCell ref="G27"/>
    <mergeCell ref="C32:D32"/>
    <mergeCell ref="E32"/>
    <mergeCell ref="F32"/>
    <mergeCell ref="G32"/>
    <mergeCell ref="C33:D33"/>
    <mergeCell ref="E33"/>
    <mergeCell ref="F33"/>
    <mergeCell ref="G33"/>
    <mergeCell ref="C30:D30"/>
    <mergeCell ref="E30"/>
    <mergeCell ref="F30"/>
    <mergeCell ref="G30"/>
    <mergeCell ref="C31:D31"/>
    <mergeCell ref="C36:D36"/>
    <mergeCell ref="E36"/>
    <mergeCell ref="F36"/>
    <mergeCell ref="G36"/>
    <mergeCell ref="C37:D37"/>
    <mergeCell ref="E37"/>
    <mergeCell ref="F37"/>
    <mergeCell ref="G37"/>
    <mergeCell ref="C34:D34"/>
    <mergeCell ref="E34"/>
    <mergeCell ref="F34"/>
    <mergeCell ref="G34"/>
    <mergeCell ref="C35:D35"/>
    <mergeCell ref="E35"/>
    <mergeCell ref="F35"/>
    <mergeCell ref="G35"/>
    <mergeCell ref="C40:D40"/>
    <mergeCell ref="E40"/>
    <mergeCell ref="F40"/>
    <mergeCell ref="G40"/>
    <mergeCell ref="C41:D41"/>
    <mergeCell ref="E41"/>
    <mergeCell ref="F41"/>
    <mergeCell ref="G41"/>
    <mergeCell ref="C38:D38"/>
    <mergeCell ref="E38"/>
    <mergeCell ref="F38"/>
    <mergeCell ref="G38"/>
    <mergeCell ref="C39:D39"/>
    <mergeCell ref="C44:D44"/>
    <mergeCell ref="E44"/>
    <mergeCell ref="F44"/>
    <mergeCell ref="G44"/>
    <mergeCell ref="C45:D45"/>
    <mergeCell ref="E45"/>
    <mergeCell ref="F45"/>
    <mergeCell ref="G45"/>
    <mergeCell ref="C42:D42"/>
    <mergeCell ref="E42"/>
    <mergeCell ref="F42"/>
    <mergeCell ref="G42"/>
    <mergeCell ref="C43:D43"/>
    <mergeCell ref="E43"/>
    <mergeCell ref="F43"/>
    <mergeCell ref="G43"/>
    <mergeCell ref="C48:D48"/>
    <mergeCell ref="E48"/>
    <mergeCell ref="F48"/>
    <mergeCell ref="G48"/>
    <mergeCell ref="C49:D49"/>
    <mergeCell ref="E49"/>
    <mergeCell ref="F49"/>
    <mergeCell ref="G49"/>
    <mergeCell ref="C46:D46"/>
    <mergeCell ref="E46"/>
    <mergeCell ref="F46"/>
    <mergeCell ref="G46"/>
    <mergeCell ref="C47:D47"/>
    <mergeCell ref="C52:D52"/>
    <mergeCell ref="C53:D53"/>
    <mergeCell ref="C54:D54"/>
    <mergeCell ref="E54"/>
    <mergeCell ref="F54"/>
    <mergeCell ref="C50:D50"/>
    <mergeCell ref="E50"/>
    <mergeCell ref="F50"/>
    <mergeCell ref="G50"/>
    <mergeCell ref="C51:D51"/>
    <mergeCell ref="E51"/>
    <mergeCell ref="F51"/>
    <mergeCell ref="G51"/>
    <mergeCell ref="C56:D56"/>
    <mergeCell ref="C57:D57"/>
    <mergeCell ref="E57"/>
    <mergeCell ref="F57"/>
    <mergeCell ref="G57"/>
    <mergeCell ref="G54"/>
    <mergeCell ref="C55:D55"/>
    <mergeCell ref="E55"/>
    <mergeCell ref="F55"/>
    <mergeCell ref="G55"/>
    <mergeCell ref="C60:D60"/>
    <mergeCell ref="C61:D61"/>
    <mergeCell ref="E61"/>
    <mergeCell ref="F61"/>
    <mergeCell ref="G61"/>
    <mergeCell ref="C58:D58"/>
    <mergeCell ref="E58"/>
    <mergeCell ref="F58"/>
    <mergeCell ref="G58"/>
    <mergeCell ref="C59:D59"/>
    <mergeCell ref="E59"/>
    <mergeCell ref="F59"/>
    <mergeCell ref="G59"/>
    <mergeCell ref="C64:D64"/>
    <mergeCell ref="E64"/>
    <mergeCell ref="F64"/>
    <mergeCell ref="G64"/>
    <mergeCell ref="C65:D65"/>
    <mergeCell ref="E65"/>
    <mergeCell ref="F65"/>
    <mergeCell ref="G65"/>
    <mergeCell ref="C62:D62"/>
    <mergeCell ref="E62"/>
    <mergeCell ref="F62"/>
    <mergeCell ref="G62"/>
    <mergeCell ref="C63:D63"/>
    <mergeCell ref="E63"/>
    <mergeCell ref="F63"/>
    <mergeCell ref="G63"/>
    <mergeCell ref="C68:D68"/>
    <mergeCell ref="E68"/>
    <mergeCell ref="F68"/>
    <mergeCell ref="G68"/>
    <mergeCell ref="C69:D69"/>
    <mergeCell ref="C66:D66"/>
    <mergeCell ref="C67:D67"/>
    <mergeCell ref="E67"/>
    <mergeCell ref="F67"/>
    <mergeCell ref="G67"/>
    <mergeCell ref="C72:D72"/>
    <mergeCell ref="C73:D73"/>
    <mergeCell ref="E73"/>
    <mergeCell ref="F73"/>
    <mergeCell ref="G73"/>
    <mergeCell ref="C70:D70"/>
    <mergeCell ref="E70"/>
    <mergeCell ref="F70"/>
    <mergeCell ref="G70"/>
    <mergeCell ref="C71:D71"/>
    <mergeCell ref="E71"/>
    <mergeCell ref="F71"/>
    <mergeCell ref="G71"/>
    <mergeCell ref="C76:D76"/>
    <mergeCell ref="E76"/>
    <mergeCell ref="F76"/>
    <mergeCell ref="G76"/>
    <mergeCell ref="C77:D77"/>
    <mergeCell ref="E77"/>
    <mergeCell ref="F77"/>
    <mergeCell ref="G77"/>
    <mergeCell ref="C74:D74"/>
    <mergeCell ref="C75:D75"/>
    <mergeCell ref="E75"/>
    <mergeCell ref="F75"/>
    <mergeCell ref="G75"/>
    <mergeCell ref="C80:D80"/>
    <mergeCell ref="C81:D81"/>
    <mergeCell ref="E81"/>
    <mergeCell ref="F81"/>
    <mergeCell ref="G81"/>
    <mergeCell ref="C78:D78"/>
    <mergeCell ref="E78"/>
    <mergeCell ref="F78"/>
    <mergeCell ref="G78"/>
    <mergeCell ref="C79:D79"/>
    <mergeCell ref="E79"/>
    <mergeCell ref="F79"/>
    <mergeCell ref="G79"/>
    <mergeCell ref="C84:D84"/>
    <mergeCell ref="E84"/>
    <mergeCell ref="F84"/>
    <mergeCell ref="G84"/>
    <mergeCell ref="C85:D85"/>
    <mergeCell ref="E85"/>
    <mergeCell ref="F85"/>
    <mergeCell ref="G85"/>
    <mergeCell ref="C82:D82"/>
    <mergeCell ref="C83:D83"/>
    <mergeCell ref="E83"/>
    <mergeCell ref="F83"/>
    <mergeCell ref="G83"/>
    <mergeCell ref="C88:D88"/>
    <mergeCell ref="C89:D89"/>
    <mergeCell ref="E89"/>
    <mergeCell ref="F89"/>
    <mergeCell ref="G89"/>
    <mergeCell ref="C86:D86"/>
    <mergeCell ref="E86"/>
    <mergeCell ref="F86"/>
    <mergeCell ref="G86"/>
    <mergeCell ref="C87:D87"/>
    <mergeCell ref="E87"/>
    <mergeCell ref="F87"/>
    <mergeCell ref="G87"/>
    <mergeCell ref="C92:D92"/>
    <mergeCell ref="E92"/>
    <mergeCell ref="F92"/>
    <mergeCell ref="G92"/>
    <mergeCell ref="C93:D93"/>
    <mergeCell ref="E93"/>
    <mergeCell ref="F93"/>
    <mergeCell ref="G93"/>
    <mergeCell ref="C90:D90"/>
    <mergeCell ref="C91:D91"/>
    <mergeCell ref="E91"/>
    <mergeCell ref="F91"/>
    <mergeCell ref="G91"/>
    <mergeCell ref="C96:D96"/>
    <mergeCell ref="C97:D97"/>
    <mergeCell ref="E97"/>
    <mergeCell ref="F97"/>
    <mergeCell ref="G97"/>
    <mergeCell ref="C94:D94"/>
    <mergeCell ref="E94"/>
    <mergeCell ref="F94"/>
    <mergeCell ref="G94"/>
    <mergeCell ref="C95:D95"/>
    <mergeCell ref="E95"/>
    <mergeCell ref="F95"/>
    <mergeCell ref="G95"/>
    <mergeCell ref="C100:D100"/>
    <mergeCell ref="C98:D98"/>
    <mergeCell ref="E98"/>
    <mergeCell ref="F98"/>
    <mergeCell ref="G98"/>
    <mergeCell ref="C99:D99"/>
    <mergeCell ref="E99"/>
    <mergeCell ref="F99"/>
    <mergeCell ref="G99"/>
  </mergeCells>
  <dataValidations count="195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556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46" t="s">
        <v>557</v>
      </c>
      <c r="D9" s="46"/>
      <c r="E9" s="46"/>
      <c r="F9" s="46"/>
      <c r="G9" s="46"/>
      <c r="H9" s="46"/>
      <c r="I9" s="46"/>
      <c r="J9" s="46"/>
      <c r="K9" s="46"/>
      <c r="L9" s="2"/>
    </row>
    <row r="10" spans="2:12">
      <c r="B10" s="2"/>
      <c r="C10" s="46" t="s">
        <v>558</v>
      </c>
      <c r="D10" s="46"/>
      <c r="E10" s="46"/>
      <c r="F10" s="46"/>
      <c r="G10" s="46"/>
      <c r="H10" s="46"/>
      <c r="I10" s="46"/>
      <c r="J10" s="46"/>
      <c r="K10" s="46"/>
      <c r="L10" s="2"/>
    </row>
    <row r="11" spans="2:12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2"/>
    </row>
    <row r="14" spans="2:12">
      <c r="B14" s="2"/>
      <c r="C14" s="40" t="s">
        <v>126</v>
      </c>
      <c r="D14" s="38"/>
      <c r="E14" s="43" t="str">
        <f>"Jenis Reasuradur"</f>
        <v>Jenis Reasuradur</v>
      </c>
      <c r="F14" s="43" t="str">
        <f>"Nama Reasuradur"</f>
        <v>Nama Reasuradur</v>
      </c>
      <c r="G14" s="43" t="str">
        <f>"Penyisihan Teknis Beban Reasuradur"</f>
        <v>Penyisihan Teknis Beban Reasuradur</v>
      </c>
      <c r="H14" s="43" t="str">
        <f>"Deposit dan atau Kontribusi yang ditahandi Perusahaan"</f>
        <v>Deposit dan atau Kontribusi yang ditahandi Perusahaan</v>
      </c>
      <c r="I14" s="43" t="str">
        <f>"Eksposur Reasuransi Netto ((2)-(3))"</f>
        <v>Eksposur Reasuransi Netto ((2)-(3))</v>
      </c>
      <c r="J14" s="43" t="str">
        <f>"Faktor"</f>
        <v>Faktor</v>
      </c>
      <c r="K14" s="43" t="str">
        <f>"Jumlah Deviasi"</f>
        <v>Jumlah Deviasi</v>
      </c>
      <c r="L14" s="2"/>
    </row>
    <row r="15" spans="2:12">
      <c r="B15" s="2"/>
      <c r="C15" s="41"/>
      <c r="D15" s="42"/>
      <c r="E15" s="44"/>
      <c r="F15" s="44"/>
      <c r="G15" s="44"/>
      <c r="H15" s="44"/>
      <c r="I15" s="44"/>
      <c r="J15" s="44"/>
      <c r="K15" s="44"/>
      <c r="L15" s="2"/>
    </row>
    <row r="16" spans="2:12">
      <c r="B16" s="2"/>
      <c r="C16" s="37" t="s">
        <v>8</v>
      </c>
      <c r="D16" s="38"/>
      <c r="E16" s="39">
        <v>0</v>
      </c>
      <c r="F16" s="34" t="s">
        <v>103</v>
      </c>
      <c r="G16" s="51">
        <v>0</v>
      </c>
      <c r="H16" s="51">
        <v>0</v>
      </c>
      <c r="I16" s="18">
        <f t="shared" ref="I16:I47" si="0">G16-H16</f>
        <v>0</v>
      </c>
      <c r="J16" s="17">
        <f t="shared" ref="J16:J47" si="1">IFERROR(IF(E16=3101,0.028,IF(E16=3102,0.028,IF(E16=3103,0.04,IF(E16=3104,0.06,IF(E16=3105,0.12,IF(E16=3106,0.15,0)))))),0)</f>
        <v>0</v>
      </c>
      <c r="K16" s="18">
        <f t="shared" ref="K16:K47" si="2">I16*J16</f>
        <v>0</v>
      </c>
      <c r="L16" s="2"/>
    </row>
    <row r="17" spans="2:12">
      <c r="B17" s="2"/>
      <c r="C17" s="37" t="s">
        <v>127</v>
      </c>
      <c r="D17" s="38"/>
      <c r="E17" s="39">
        <v>0</v>
      </c>
      <c r="F17" s="34" t="s">
        <v>103</v>
      </c>
      <c r="G17" s="51">
        <v>0</v>
      </c>
      <c r="H17" s="51">
        <v>0</v>
      </c>
      <c r="I17" s="18">
        <f t="shared" si="0"/>
        <v>0</v>
      </c>
      <c r="J17" s="17">
        <f t="shared" si="1"/>
        <v>0</v>
      </c>
      <c r="K17" s="18">
        <f t="shared" si="2"/>
        <v>0</v>
      </c>
      <c r="L17" s="2"/>
    </row>
    <row r="18" spans="2:12">
      <c r="B18" s="2"/>
      <c r="C18" s="37" t="s">
        <v>128</v>
      </c>
      <c r="D18" s="38"/>
      <c r="E18" s="39">
        <v>0</v>
      </c>
      <c r="F18" s="34" t="s">
        <v>103</v>
      </c>
      <c r="G18" s="51">
        <v>0</v>
      </c>
      <c r="H18" s="51">
        <v>0</v>
      </c>
      <c r="I18" s="18">
        <f t="shared" si="0"/>
        <v>0</v>
      </c>
      <c r="J18" s="17">
        <f t="shared" si="1"/>
        <v>0</v>
      </c>
      <c r="K18" s="18">
        <f t="shared" si="2"/>
        <v>0</v>
      </c>
      <c r="L18" s="2"/>
    </row>
    <row r="19" spans="2:12">
      <c r="B19" s="2"/>
      <c r="C19" s="37" t="s">
        <v>129</v>
      </c>
      <c r="D19" s="38"/>
      <c r="E19" s="39">
        <v>0</v>
      </c>
      <c r="F19" s="34" t="s">
        <v>103</v>
      </c>
      <c r="G19" s="51">
        <v>0</v>
      </c>
      <c r="H19" s="51">
        <v>0</v>
      </c>
      <c r="I19" s="18">
        <f t="shared" si="0"/>
        <v>0</v>
      </c>
      <c r="J19" s="17">
        <f t="shared" si="1"/>
        <v>0</v>
      </c>
      <c r="K19" s="18">
        <f t="shared" si="2"/>
        <v>0</v>
      </c>
      <c r="L19" s="2"/>
    </row>
    <row r="20" spans="2:12">
      <c r="B20" s="2"/>
      <c r="C20" s="37" t="s">
        <v>130</v>
      </c>
      <c r="D20" s="38"/>
      <c r="E20" s="39">
        <v>0</v>
      </c>
      <c r="F20" s="34" t="s">
        <v>103</v>
      </c>
      <c r="G20" s="51">
        <v>0</v>
      </c>
      <c r="H20" s="51">
        <v>0</v>
      </c>
      <c r="I20" s="18">
        <f t="shared" si="0"/>
        <v>0</v>
      </c>
      <c r="J20" s="17">
        <f t="shared" si="1"/>
        <v>0</v>
      </c>
      <c r="K20" s="18">
        <f t="shared" si="2"/>
        <v>0</v>
      </c>
      <c r="L20" s="2"/>
    </row>
    <row r="21" spans="2:12">
      <c r="B21" s="2"/>
      <c r="C21" s="37" t="s">
        <v>131</v>
      </c>
      <c r="D21" s="38"/>
      <c r="E21" s="39">
        <v>0</v>
      </c>
      <c r="F21" s="34" t="s">
        <v>103</v>
      </c>
      <c r="G21" s="51">
        <v>0</v>
      </c>
      <c r="H21" s="51">
        <v>0</v>
      </c>
      <c r="I21" s="18">
        <f t="shared" si="0"/>
        <v>0</v>
      </c>
      <c r="J21" s="17">
        <f t="shared" si="1"/>
        <v>0</v>
      </c>
      <c r="K21" s="18">
        <f t="shared" si="2"/>
        <v>0</v>
      </c>
      <c r="L21" s="2"/>
    </row>
    <row r="22" spans="2:12">
      <c r="B22" s="2"/>
      <c r="C22" s="37" t="s">
        <v>132</v>
      </c>
      <c r="D22" s="38"/>
      <c r="E22" s="39">
        <v>0</v>
      </c>
      <c r="F22" s="34" t="s">
        <v>103</v>
      </c>
      <c r="G22" s="51">
        <v>0</v>
      </c>
      <c r="H22" s="51">
        <v>0</v>
      </c>
      <c r="I22" s="18">
        <f t="shared" si="0"/>
        <v>0</v>
      </c>
      <c r="J22" s="17">
        <f t="shared" si="1"/>
        <v>0</v>
      </c>
      <c r="K22" s="18">
        <f t="shared" si="2"/>
        <v>0</v>
      </c>
      <c r="L22" s="2"/>
    </row>
    <row r="23" spans="2:12">
      <c r="B23" s="2"/>
      <c r="C23" s="37" t="s">
        <v>133</v>
      </c>
      <c r="D23" s="38"/>
      <c r="E23" s="39">
        <v>0</v>
      </c>
      <c r="F23" s="34" t="s">
        <v>103</v>
      </c>
      <c r="G23" s="51">
        <v>0</v>
      </c>
      <c r="H23" s="51">
        <v>0</v>
      </c>
      <c r="I23" s="18">
        <f t="shared" si="0"/>
        <v>0</v>
      </c>
      <c r="J23" s="17">
        <f t="shared" si="1"/>
        <v>0</v>
      </c>
      <c r="K23" s="18">
        <f t="shared" si="2"/>
        <v>0</v>
      </c>
      <c r="L23" s="2"/>
    </row>
    <row r="24" spans="2:12">
      <c r="B24" s="2"/>
      <c r="C24" s="37" t="s">
        <v>134</v>
      </c>
      <c r="D24" s="38"/>
      <c r="E24" s="39">
        <v>0</v>
      </c>
      <c r="F24" s="34" t="s">
        <v>103</v>
      </c>
      <c r="G24" s="51">
        <v>0</v>
      </c>
      <c r="H24" s="51">
        <v>0</v>
      </c>
      <c r="I24" s="18">
        <f t="shared" si="0"/>
        <v>0</v>
      </c>
      <c r="J24" s="17">
        <f t="shared" si="1"/>
        <v>0</v>
      </c>
      <c r="K24" s="18">
        <f t="shared" si="2"/>
        <v>0</v>
      </c>
      <c r="L24" s="2"/>
    </row>
    <row r="25" spans="2:12">
      <c r="B25" s="2"/>
      <c r="C25" s="37" t="s">
        <v>135</v>
      </c>
      <c r="D25" s="38"/>
      <c r="E25" s="39">
        <v>0</v>
      </c>
      <c r="F25" s="34" t="s">
        <v>103</v>
      </c>
      <c r="G25" s="51">
        <v>0</v>
      </c>
      <c r="H25" s="51">
        <v>0</v>
      </c>
      <c r="I25" s="18">
        <f t="shared" si="0"/>
        <v>0</v>
      </c>
      <c r="J25" s="17">
        <f t="shared" si="1"/>
        <v>0</v>
      </c>
      <c r="K25" s="18">
        <f t="shared" si="2"/>
        <v>0</v>
      </c>
      <c r="L25" s="2"/>
    </row>
    <row r="26" spans="2:12">
      <c r="B26" s="2"/>
      <c r="C26" s="37" t="s">
        <v>136</v>
      </c>
      <c r="D26" s="38"/>
      <c r="E26" s="39">
        <v>0</v>
      </c>
      <c r="F26" s="34" t="s">
        <v>103</v>
      </c>
      <c r="G26" s="51">
        <v>0</v>
      </c>
      <c r="H26" s="51">
        <v>0</v>
      </c>
      <c r="I26" s="18">
        <f t="shared" si="0"/>
        <v>0</v>
      </c>
      <c r="J26" s="17">
        <f t="shared" si="1"/>
        <v>0</v>
      </c>
      <c r="K26" s="18">
        <f t="shared" si="2"/>
        <v>0</v>
      </c>
      <c r="L26" s="2"/>
    </row>
    <row r="27" spans="2:12">
      <c r="B27" s="2"/>
      <c r="C27" s="37" t="s">
        <v>137</v>
      </c>
      <c r="D27" s="38"/>
      <c r="E27" s="39">
        <v>0</v>
      </c>
      <c r="F27" s="34" t="s">
        <v>103</v>
      </c>
      <c r="G27" s="51">
        <v>0</v>
      </c>
      <c r="H27" s="51">
        <v>0</v>
      </c>
      <c r="I27" s="18">
        <f t="shared" si="0"/>
        <v>0</v>
      </c>
      <c r="J27" s="17">
        <f t="shared" si="1"/>
        <v>0</v>
      </c>
      <c r="K27" s="18">
        <f t="shared" si="2"/>
        <v>0</v>
      </c>
      <c r="L27" s="2"/>
    </row>
    <row r="28" spans="2:12">
      <c r="B28" s="2"/>
      <c r="C28" s="37" t="s">
        <v>138</v>
      </c>
      <c r="D28" s="38"/>
      <c r="E28" s="39">
        <v>0</v>
      </c>
      <c r="F28" s="34" t="s">
        <v>103</v>
      </c>
      <c r="G28" s="51">
        <v>0</v>
      </c>
      <c r="H28" s="51">
        <v>0</v>
      </c>
      <c r="I28" s="18">
        <f t="shared" si="0"/>
        <v>0</v>
      </c>
      <c r="J28" s="17">
        <f t="shared" si="1"/>
        <v>0</v>
      </c>
      <c r="K28" s="18">
        <f t="shared" si="2"/>
        <v>0</v>
      </c>
      <c r="L28" s="2"/>
    </row>
    <row r="29" spans="2:12">
      <c r="B29" s="2"/>
      <c r="C29" s="37" t="s">
        <v>139</v>
      </c>
      <c r="D29" s="38"/>
      <c r="E29" s="39">
        <v>0</v>
      </c>
      <c r="F29" s="34" t="s">
        <v>103</v>
      </c>
      <c r="G29" s="51">
        <v>0</v>
      </c>
      <c r="H29" s="51">
        <v>0</v>
      </c>
      <c r="I29" s="18">
        <f t="shared" si="0"/>
        <v>0</v>
      </c>
      <c r="J29" s="17">
        <f t="shared" si="1"/>
        <v>0</v>
      </c>
      <c r="K29" s="18">
        <f t="shared" si="2"/>
        <v>0</v>
      </c>
      <c r="L29" s="2"/>
    </row>
    <row r="30" spans="2:12">
      <c r="B30" s="2"/>
      <c r="C30" s="37" t="s">
        <v>140</v>
      </c>
      <c r="D30" s="38"/>
      <c r="E30" s="39">
        <v>0</v>
      </c>
      <c r="F30" s="34" t="s">
        <v>103</v>
      </c>
      <c r="G30" s="51">
        <v>0</v>
      </c>
      <c r="H30" s="51">
        <v>0</v>
      </c>
      <c r="I30" s="18">
        <f t="shared" si="0"/>
        <v>0</v>
      </c>
      <c r="J30" s="17">
        <f t="shared" si="1"/>
        <v>0</v>
      </c>
      <c r="K30" s="18">
        <f t="shared" si="2"/>
        <v>0</v>
      </c>
      <c r="L30" s="2"/>
    </row>
    <row r="31" spans="2:12">
      <c r="B31" s="2"/>
      <c r="C31" s="37" t="s">
        <v>141</v>
      </c>
      <c r="D31" s="38"/>
      <c r="E31" s="39">
        <v>0</v>
      </c>
      <c r="F31" s="34" t="s">
        <v>103</v>
      </c>
      <c r="G31" s="51">
        <v>0</v>
      </c>
      <c r="H31" s="51">
        <v>0</v>
      </c>
      <c r="I31" s="18">
        <f t="shared" si="0"/>
        <v>0</v>
      </c>
      <c r="J31" s="17">
        <f t="shared" si="1"/>
        <v>0</v>
      </c>
      <c r="K31" s="18">
        <f t="shared" si="2"/>
        <v>0</v>
      </c>
      <c r="L31" s="2"/>
    </row>
    <row r="32" spans="2:12">
      <c r="B32" s="2"/>
      <c r="C32" s="37" t="s">
        <v>142</v>
      </c>
      <c r="D32" s="38"/>
      <c r="E32" s="39">
        <v>0</v>
      </c>
      <c r="F32" s="34" t="s">
        <v>103</v>
      </c>
      <c r="G32" s="51">
        <v>0</v>
      </c>
      <c r="H32" s="51">
        <v>0</v>
      </c>
      <c r="I32" s="18">
        <f t="shared" si="0"/>
        <v>0</v>
      </c>
      <c r="J32" s="17">
        <f t="shared" si="1"/>
        <v>0</v>
      </c>
      <c r="K32" s="18">
        <f t="shared" si="2"/>
        <v>0</v>
      </c>
      <c r="L32" s="2"/>
    </row>
    <row r="33" spans="2:12">
      <c r="B33" s="2"/>
      <c r="C33" s="37" t="s">
        <v>143</v>
      </c>
      <c r="D33" s="38"/>
      <c r="E33" s="39">
        <v>0</v>
      </c>
      <c r="F33" s="34" t="s">
        <v>103</v>
      </c>
      <c r="G33" s="51">
        <v>0</v>
      </c>
      <c r="H33" s="51">
        <v>0</v>
      </c>
      <c r="I33" s="18">
        <f t="shared" si="0"/>
        <v>0</v>
      </c>
      <c r="J33" s="17">
        <f t="shared" si="1"/>
        <v>0</v>
      </c>
      <c r="K33" s="18">
        <f t="shared" si="2"/>
        <v>0</v>
      </c>
      <c r="L33" s="2"/>
    </row>
    <row r="34" spans="2:12">
      <c r="B34" s="2"/>
      <c r="C34" s="37" t="s">
        <v>144</v>
      </c>
      <c r="D34" s="38"/>
      <c r="E34" s="39">
        <v>0</v>
      </c>
      <c r="F34" s="34" t="s">
        <v>103</v>
      </c>
      <c r="G34" s="51">
        <v>0</v>
      </c>
      <c r="H34" s="51">
        <v>0</v>
      </c>
      <c r="I34" s="18">
        <f t="shared" si="0"/>
        <v>0</v>
      </c>
      <c r="J34" s="17">
        <f t="shared" si="1"/>
        <v>0</v>
      </c>
      <c r="K34" s="18">
        <f t="shared" si="2"/>
        <v>0</v>
      </c>
      <c r="L34" s="2"/>
    </row>
    <row r="35" spans="2:12">
      <c r="B35" s="2"/>
      <c r="C35" s="37" t="s">
        <v>145</v>
      </c>
      <c r="D35" s="38"/>
      <c r="E35" s="39">
        <v>0</v>
      </c>
      <c r="F35" s="34" t="s">
        <v>103</v>
      </c>
      <c r="G35" s="51">
        <v>0</v>
      </c>
      <c r="H35" s="51">
        <v>0</v>
      </c>
      <c r="I35" s="18">
        <f t="shared" si="0"/>
        <v>0</v>
      </c>
      <c r="J35" s="17">
        <f t="shared" si="1"/>
        <v>0</v>
      </c>
      <c r="K35" s="18">
        <f t="shared" si="2"/>
        <v>0</v>
      </c>
      <c r="L35" s="2"/>
    </row>
    <row r="36" spans="2:12">
      <c r="B36" s="2"/>
      <c r="C36" s="37" t="s">
        <v>146</v>
      </c>
      <c r="D36" s="38"/>
      <c r="E36" s="39">
        <v>0</v>
      </c>
      <c r="F36" s="34" t="s">
        <v>103</v>
      </c>
      <c r="G36" s="51">
        <v>0</v>
      </c>
      <c r="H36" s="51">
        <v>0</v>
      </c>
      <c r="I36" s="18">
        <f t="shared" si="0"/>
        <v>0</v>
      </c>
      <c r="J36" s="17">
        <f t="shared" si="1"/>
        <v>0</v>
      </c>
      <c r="K36" s="18">
        <f t="shared" si="2"/>
        <v>0</v>
      </c>
      <c r="L36" s="2"/>
    </row>
    <row r="37" spans="2:12">
      <c r="B37" s="2"/>
      <c r="C37" s="37" t="s">
        <v>147</v>
      </c>
      <c r="D37" s="38"/>
      <c r="E37" s="39">
        <v>0</v>
      </c>
      <c r="F37" s="34" t="s">
        <v>103</v>
      </c>
      <c r="G37" s="51">
        <v>0</v>
      </c>
      <c r="H37" s="51">
        <v>0</v>
      </c>
      <c r="I37" s="18">
        <f t="shared" si="0"/>
        <v>0</v>
      </c>
      <c r="J37" s="17">
        <f t="shared" si="1"/>
        <v>0</v>
      </c>
      <c r="K37" s="18">
        <f t="shared" si="2"/>
        <v>0</v>
      </c>
      <c r="L37" s="2"/>
    </row>
    <row r="38" spans="2:12">
      <c r="B38" s="2"/>
      <c r="C38" s="37" t="s">
        <v>148</v>
      </c>
      <c r="D38" s="38"/>
      <c r="E38" s="39">
        <v>0</v>
      </c>
      <c r="F38" s="34" t="s">
        <v>103</v>
      </c>
      <c r="G38" s="51">
        <v>0</v>
      </c>
      <c r="H38" s="51">
        <v>0</v>
      </c>
      <c r="I38" s="18">
        <f t="shared" si="0"/>
        <v>0</v>
      </c>
      <c r="J38" s="17">
        <f t="shared" si="1"/>
        <v>0</v>
      </c>
      <c r="K38" s="18">
        <f t="shared" si="2"/>
        <v>0</v>
      </c>
      <c r="L38" s="2"/>
    </row>
    <row r="39" spans="2:12">
      <c r="B39" s="2"/>
      <c r="C39" s="37" t="s">
        <v>149</v>
      </c>
      <c r="D39" s="38"/>
      <c r="E39" s="39">
        <v>0</v>
      </c>
      <c r="F39" s="34" t="s">
        <v>103</v>
      </c>
      <c r="G39" s="51">
        <v>0</v>
      </c>
      <c r="H39" s="51">
        <v>0</v>
      </c>
      <c r="I39" s="18">
        <f t="shared" si="0"/>
        <v>0</v>
      </c>
      <c r="J39" s="17">
        <f t="shared" si="1"/>
        <v>0</v>
      </c>
      <c r="K39" s="18">
        <f t="shared" si="2"/>
        <v>0</v>
      </c>
      <c r="L39" s="2"/>
    </row>
    <row r="40" spans="2:12">
      <c r="B40" s="2"/>
      <c r="C40" s="37" t="s">
        <v>150</v>
      </c>
      <c r="D40" s="38"/>
      <c r="E40" s="39">
        <v>0</v>
      </c>
      <c r="F40" s="34" t="s">
        <v>103</v>
      </c>
      <c r="G40" s="51">
        <v>0</v>
      </c>
      <c r="H40" s="51">
        <v>0</v>
      </c>
      <c r="I40" s="18">
        <f t="shared" si="0"/>
        <v>0</v>
      </c>
      <c r="J40" s="17">
        <f t="shared" si="1"/>
        <v>0</v>
      </c>
      <c r="K40" s="18">
        <f t="shared" si="2"/>
        <v>0</v>
      </c>
      <c r="L40" s="2"/>
    </row>
    <row r="41" spans="2:12">
      <c r="B41" s="2"/>
      <c r="C41" s="37" t="s">
        <v>151</v>
      </c>
      <c r="D41" s="38"/>
      <c r="E41" s="39">
        <v>0</v>
      </c>
      <c r="F41" s="34" t="s">
        <v>103</v>
      </c>
      <c r="G41" s="51">
        <v>0</v>
      </c>
      <c r="H41" s="51">
        <v>0</v>
      </c>
      <c r="I41" s="18">
        <f t="shared" si="0"/>
        <v>0</v>
      </c>
      <c r="J41" s="17">
        <f t="shared" si="1"/>
        <v>0</v>
      </c>
      <c r="K41" s="18">
        <f t="shared" si="2"/>
        <v>0</v>
      </c>
      <c r="L41" s="2"/>
    </row>
    <row r="42" spans="2:12">
      <c r="B42" s="2"/>
      <c r="C42" s="37" t="s">
        <v>152</v>
      </c>
      <c r="D42" s="38"/>
      <c r="E42" s="39">
        <v>0</v>
      </c>
      <c r="F42" s="34" t="s">
        <v>103</v>
      </c>
      <c r="G42" s="51">
        <v>0</v>
      </c>
      <c r="H42" s="51">
        <v>0</v>
      </c>
      <c r="I42" s="18">
        <f t="shared" si="0"/>
        <v>0</v>
      </c>
      <c r="J42" s="17">
        <f t="shared" si="1"/>
        <v>0</v>
      </c>
      <c r="K42" s="18">
        <f t="shared" si="2"/>
        <v>0</v>
      </c>
      <c r="L42" s="2"/>
    </row>
    <row r="43" spans="2:12">
      <c r="B43" s="2"/>
      <c r="C43" s="37" t="s">
        <v>153</v>
      </c>
      <c r="D43" s="38"/>
      <c r="E43" s="39">
        <v>0</v>
      </c>
      <c r="F43" s="34" t="s">
        <v>103</v>
      </c>
      <c r="G43" s="51">
        <v>0</v>
      </c>
      <c r="H43" s="51">
        <v>0</v>
      </c>
      <c r="I43" s="18">
        <f t="shared" si="0"/>
        <v>0</v>
      </c>
      <c r="J43" s="17">
        <f t="shared" si="1"/>
        <v>0</v>
      </c>
      <c r="K43" s="18">
        <f t="shared" si="2"/>
        <v>0</v>
      </c>
      <c r="L43" s="2"/>
    </row>
    <row r="44" spans="2:12">
      <c r="B44" s="2"/>
      <c r="C44" s="37" t="s">
        <v>154</v>
      </c>
      <c r="D44" s="38"/>
      <c r="E44" s="39">
        <v>0</v>
      </c>
      <c r="F44" s="34" t="s">
        <v>103</v>
      </c>
      <c r="G44" s="51">
        <v>0</v>
      </c>
      <c r="H44" s="51">
        <v>0</v>
      </c>
      <c r="I44" s="18">
        <f t="shared" si="0"/>
        <v>0</v>
      </c>
      <c r="J44" s="17">
        <f t="shared" si="1"/>
        <v>0</v>
      </c>
      <c r="K44" s="18">
        <f t="shared" si="2"/>
        <v>0</v>
      </c>
      <c r="L44" s="2"/>
    </row>
    <row r="45" spans="2:12">
      <c r="B45" s="2"/>
      <c r="C45" s="37" t="s">
        <v>155</v>
      </c>
      <c r="D45" s="38"/>
      <c r="E45" s="39">
        <v>0</v>
      </c>
      <c r="F45" s="34" t="s">
        <v>103</v>
      </c>
      <c r="G45" s="51">
        <v>0</v>
      </c>
      <c r="H45" s="51">
        <v>0</v>
      </c>
      <c r="I45" s="18">
        <f t="shared" si="0"/>
        <v>0</v>
      </c>
      <c r="J45" s="17">
        <f t="shared" si="1"/>
        <v>0</v>
      </c>
      <c r="K45" s="18">
        <f t="shared" si="2"/>
        <v>0</v>
      </c>
      <c r="L45" s="2"/>
    </row>
    <row r="46" spans="2:12">
      <c r="B46" s="2"/>
      <c r="C46" s="37" t="s">
        <v>156</v>
      </c>
      <c r="D46" s="38"/>
      <c r="E46" s="39">
        <v>0</v>
      </c>
      <c r="F46" s="34" t="s">
        <v>103</v>
      </c>
      <c r="G46" s="51">
        <v>0</v>
      </c>
      <c r="H46" s="51">
        <v>0</v>
      </c>
      <c r="I46" s="18">
        <f t="shared" si="0"/>
        <v>0</v>
      </c>
      <c r="J46" s="17">
        <f t="shared" si="1"/>
        <v>0</v>
      </c>
      <c r="K46" s="18">
        <f t="shared" si="2"/>
        <v>0</v>
      </c>
      <c r="L46" s="2"/>
    </row>
    <row r="47" spans="2:12">
      <c r="B47" s="2"/>
      <c r="C47" s="37" t="s">
        <v>157</v>
      </c>
      <c r="D47" s="38"/>
      <c r="E47" s="39">
        <v>0</v>
      </c>
      <c r="F47" s="34" t="s">
        <v>103</v>
      </c>
      <c r="G47" s="51">
        <v>0</v>
      </c>
      <c r="H47" s="51">
        <v>0</v>
      </c>
      <c r="I47" s="18">
        <f t="shared" si="0"/>
        <v>0</v>
      </c>
      <c r="J47" s="17">
        <f t="shared" si="1"/>
        <v>0</v>
      </c>
      <c r="K47" s="18">
        <f t="shared" si="2"/>
        <v>0</v>
      </c>
      <c r="L47" s="2"/>
    </row>
    <row r="48" spans="2:12">
      <c r="B48" s="2"/>
      <c r="C48" s="37" t="s">
        <v>158</v>
      </c>
      <c r="D48" s="38"/>
      <c r="E48" s="39">
        <v>0</v>
      </c>
      <c r="F48" s="34" t="s">
        <v>103</v>
      </c>
      <c r="G48" s="51">
        <v>0</v>
      </c>
      <c r="H48" s="51">
        <v>0</v>
      </c>
      <c r="I48" s="18">
        <f t="shared" ref="I48:I79" si="3">G48-H48</f>
        <v>0</v>
      </c>
      <c r="J48" s="17">
        <f t="shared" ref="J48:J79" si="4">IFERROR(IF(E48=3101,0.028,IF(E48=3102,0.028,IF(E48=3103,0.04,IF(E48=3104,0.06,IF(E48=3105,0.12,IF(E48=3106,0.15,0)))))),0)</f>
        <v>0</v>
      </c>
      <c r="K48" s="18">
        <f t="shared" ref="K48:K79" si="5">I48*J48</f>
        <v>0</v>
      </c>
      <c r="L48" s="2"/>
    </row>
    <row r="49" spans="2:12">
      <c r="B49" s="2"/>
      <c r="C49" s="37" t="s">
        <v>159</v>
      </c>
      <c r="D49" s="38"/>
      <c r="E49" s="39">
        <v>0</v>
      </c>
      <c r="F49" s="34" t="s">
        <v>103</v>
      </c>
      <c r="G49" s="51">
        <v>0</v>
      </c>
      <c r="H49" s="51">
        <v>0</v>
      </c>
      <c r="I49" s="18">
        <f t="shared" si="3"/>
        <v>0</v>
      </c>
      <c r="J49" s="17">
        <f t="shared" si="4"/>
        <v>0</v>
      </c>
      <c r="K49" s="18">
        <f t="shared" si="5"/>
        <v>0</v>
      </c>
      <c r="L49" s="2"/>
    </row>
    <row r="50" spans="2:12">
      <c r="B50" s="2"/>
      <c r="C50" s="37" t="s">
        <v>160</v>
      </c>
      <c r="D50" s="38"/>
      <c r="E50" s="39">
        <v>0</v>
      </c>
      <c r="F50" s="34" t="s">
        <v>103</v>
      </c>
      <c r="G50" s="51">
        <v>0</v>
      </c>
      <c r="H50" s="51">
        <v>0</v>
      </c>
      <c r="I50" s="18">
        <f t="shared" si="3"/>
        <v>0</v>
      </c>
      <c r="J50" s="17">
        <f t="shared" si="4"/>
        <v>0</v>
      </c>
      <c r="K50" s="18">
        <f t="shared" si="5"/>
        <v>0</v>
      </c>
      <c r="L50" s="2"/>
    </row>
    <row r="51" spans="2:12">
      <c r="B51" s="2"/>
      <c r="C51" s="37" t="s">
        <v>161</v>
      </c>
      <c r="D51" s="38"/>
      <c r="E51" s="39">
        <v>0</v>
      </c>
      <c r="F51" s="34" t="s">
        <v>103</v>
      </c>
      <c r="G51" s="51">
        <v>0</v>
      </c>
      <c r="H51" s="51">
        <v>0</v>
      </c>
      <c r="I51" s="18">
        <f t="shared" si="3"/>
        <v>0</v>
      </c>
      <c r="J51" s="17">
        <f t="shared" si="4"/>
        <v>0</v>
      </c>
      <c r="K51" s="18">
        <f t="shared" si="5"/>
        <v>0</v>
      </c>
      <c r="L51" s="2"/>
    </row>
    <row r="52" spans="2:12">
      <c r="B52" s="2"/>
      <c r="C52" s="37" t="s">
        <v>162</v>
      </c>
      <c r="D52" s="38"/>
      <c r="E52" s="39">
        <v>0</v>
      </c>
      <c r="F52" s="34" t="s">
        <v>103</v>
      </c>
      <c r="G52" s="51">
        <v>0</v>
      </c>
      <c r="H52" s="51">
        <v>0</v>
      </c>
      <c r="I52" s="18">
        <f t="shared" si="3"/>
        <v>0</v>
      </c>
      <c r="J52" s="17">
        <f t="shared" si="4"/>
        <v>0</v>
      </c>
      <c r="K52" s="18">
        <f t="shared" si="5"/>
        <v>0</v>
      </c>
      <c r="L52" s="2"/>
    </row>
    <row r="53" spans="2:12">
      <c r="B53" s="2"/>
      <c r="C53" s="37" t="s">
        <v>163</v>
      </c>
      <c r="D53" s="38"/>
      <c r="E53" s="39">
        <v>0</v>
      </c>
      <c r="F53" s="34" t="s">
        <v>103</v>
      </c>
      <c r="G53" s="51">
        <v>0</v>
      </c>
      <c r="H53" s="51">
        <v>0</v>
      </c>
      <c r="I53" s="18">
        <f t="shared" si="3"/>
        <v>0</v>
      </c>
      <c r="J53" s="17">
        <f t="shared" si="4"/>
        <v>0</v>
      </c>
      <c r="K53" s="18">
        <f t="shared" si="5"/>
        <v>0</v>
      </c>
      <c r="L53" s="2"/>
    </row>
    <row r="54" spans="2:12">
      <c r="B54" s="2"/>
      <c r="C54" s="37" t="s">
        <v>164</v>
      </c>
      <c r="D54" s="38"/>
      <c r="E54" s="39">
        <v>0</v>
      </c>
      <c r="F54" s="34" t="s">
        <v>103</v>
      </c>
      <c r="G54" s="51">
        <v>0</v>
      </c>
      <c r="H54" s="51">
        <v>0</v>
      </c>
      <c r="I54" s="18">
        <f t="shared" si="3"/>
        <v>0</v>
      </c>
      <c r="J54" s="17">
        <f t="shared" si="4"/>
        <v>0</v>
      </c>
      <c r="K54" s="18">
        <f t="shared" si="5"/>
        <v>0</v>
      </c>
      <c r="L54" s="2"/>
    </row>
    <row r="55" spans="2:12">
      <c r="B55" s="2"/>
      <c r="C55" s="37" t="s">
        <v>165</v>
      </c>
      <c r="D55" s="38"/>
      <c r="E55" s="39">
        <v>0</v>
      </c>
      <c r="F55" s="34" t="s">
        <v>103</v>
      </c>
      <c r="G55" s="51">
        <v>0</v>
      </c>
      <c r="H55" s="51">
        <v>0</v>
      </c>
      <c r="I55" s="18">
        <f t="shared" si="3"/>
        <v>0</v>
      </c>
      <c r="J55" s="17">
        <f t="shared" si="4"/>
        <v>0</v>
      </c>
      <c r="K55" s="18">
        <f t="shared" si="5"/>
        <v>0</v>
      </c>
      <c r="L55" s="2"/>
    </row>
    <row r="56" spans="2:12">
      <c r="B56" s="2"/>
      <c r="C56" s="37" t="s">
        <v>166</v>
      </c>
      <c r="D56" s="38"/>
      <c r="E56" s="39">
        <v>0</v>
      </c>
      <c r="F56" s="34" t="s">
        <v>103</v>
      </c>
      <c r="G56" s="51">
        <v>0</v>
      </c>
      <c r="H56" s="51">
        <v>0</v>
      </c>
      <c r="I56" s="18">
        <f t="shared" si="3"/>
        <v>0</v>
      </c>
      <c r="J56" s="17">
        <f t="shared" si="4"/>
        <v>0</v>
      </c>
      <c r="K56" s="18">
        <f t="shared" si="5"/>
        <v>0</v>
      </c>
      <c r="L56" s="2"/>
    </row>
    <row r="57" spans="2:12">
      <c r="B57" s="2"/>
      <c r="C57" s="37" t="s">
        <v>167</v>
      </c>
      <c r="D57" s="38"/>
      <c r="E57" s="39">
        <v>0</v>
      </c>
      <c r="F57" s="34" t="s">
        <v>103</v>
      </c>
      <c r="G57" s="51">
        <v>0</v>
      </c>
      <c r="H57" s="51">
        <v>0</v>
      </c>
      <c r="I57" s="18">
        <f t="shared" si="3"/>
        <v>0</v>
      </c>
      <c r="J57" s="17">
        <f t="shared" si="4"/>
        <v>0</v>
      </c>
      <c r="K57" s="18">
        <f t="shared" si="5"/>
        <v>0</v>
      </c>
      <c r="L57" s="2"/>
    </row>
    <row r="58" spans="2:12">
      <c r="B58" s="2"/>
      <c r="C58" s="37" t="s">
        <v>168</v>
      </c>
      <c r="D58" s="38"/>
      <c r="E58" s="39">
        <v>0</v>
      </c>
      <c r="F58" s="34" t="s">
        <v>103</v>
      </c>
      <c r="G58" s="51">
        <v>0</v>
      </c>
      <c r="H58" s="51">
        <v>0</v>
      </c>
      <c r="I58" s="18">
        <f t="shared" si="3"/>
        <v>0</v>
      </c>
      <c r="J58" s="17">
        <f t="shared" si="4"/>
        <v>0</v>
      </c>
      <c r="K58" s="18">
        <f t="shared" si="5"/>
        <v>0</v>
      </c>
      <c r="L58" s="2"/>
    </row>
    <row r="59" spans="2:12">
      <c r="B59" s="2"/>
      <c r="C59" s="37" t="s">
        <v>169</v>
      </c>
      <c r="D59" s="38"/>
      <c r="E59" s="39">
        <v>0</v>
      </c>
      <c r="F59" s="34" t="s">
        <v>103</v>
      </c>
      <c r="G59" s="51">
        <v>0</v>
      </c>
      <c r="H59" s="51">
        <v>0</v>
      </c>
      <c r="I59" s="18">
        <f t="shared" si="3"/>
        <v>0</v>
      </c>
      <c r="J59" s="17">
        <f t="shared" si="4"/>
        <v>0</v>
      </c>
      <c r="K59" s="18">
        <f t="shared" si="5"/>
        <v>0</v>
      </c>
      <c r="L59" s="2"/>
    </row>
    <row r="60" spans="2:12">
      <c r="B60" s="2"/>
      <c r="C60" s="37" t="s">
        <v>170</v>
      </c>
      <c r="D60" s="38"/>
      <c r="E60" s="39">
        <v>0</v>
      </c>
      <c r="F60" s="34" t="s">
        <v>103</v>
      </c>
      <c r="G60" s="51">
        <v>0</v>
      </c>
      <c r="H60" s="51">
        <v>0</v>
      </c>
      <c r="I60" s="18">
        <f t="shared" si="3"/>
        <v>0</v>
      </c>
      <c r="J60" s="17">
        <f t="shared" si="4"/>
        <v>0</v>
      </c>
      <c r="K60" s="18">
        <f t="shared" si="5"/>
        <v>0</v>
      </c>
      <c r="L60" s="2"/>
    </row>
    <row r="61" spans="2:12">
      <c r="B61" s="2"/>
      <c r="C61" s="37" t="s">
        <v>171</v>
      </c>
      <c r="D61" s="38"/>
      <c r="E61" s="39">
        <v>0</v>
      </c>
      <c r="F61" s="34" t="s">
        <v>103</v>
      </c>
      <c r="G61" s="51">
        <v>0</v>
      </c>
      <c r="H61" s="51">
        <v>0</v>
      </c>
      <c r="I61" s="18">
        <f t="shared" si="3"/>
        <v>0</v>
      </c>
      <c r="J61" s="17">
        <f t="shared" si="4"/>
        <v>0</v>
      </c>
      <c r="K61" s="18">
        <f t="shared" si="5"/>
        <v>0</v>
      </c>
      <c r="L61" s="2"/>
    </row>
    <row r="62" spans="2:12">
      <c r="B62" s="2"/>
      <c r="C62" s="37" t="s">
        <v>172</v>
      </c>
      <c r="D62" s="38"/>
      <c r="E62" s="39">
        <v>0</v>
      </c>
      <c r="F62" s="34" t="s">
        <v>103</v>
      </c>
      <c r="G62" s="51">
        <v>0</v>
      </c>
      <c r="H62" s="51">
        <v>0</v>
      </c>
      <c r="I62" s="18">
        <f t="shared" si="3"/>
        <v>0</v>
      </c>
      <c r="J62" s="17">
        <f t="shared" si="4"/>
        <v>0</v>
      </c>
      <c r="K62" s="18">
        <f t="shared" si="5"/>
        <v>0</v>
      </c>
      <c r="L62" s="2"/>
    </row>
    <row r="63" spans="2:12">
      <c r="B63" s="2"/>
      <c r="C63" s="37" t="s">
        <v>173</v>
      </c>
      <c r="D63" s="38"/>
      <c r="E63" s="39">
        <v>0</v>
      </c>
      <c r="F63" s="34" t="s">
        <v>103</v>
      </c>
      <c r="G63" s="51">
        <v>0</v>
      </c>
      <c r="H63" s="51">
        <v>0</v>
      </c>
      <c r="I63" s="18">
        <f t="shared" si="3"/>
        <v>0</v>
      </c>
      <c r="J63" s="17">
        <f t="shared" si="4"/>
        <v>0</v>
      </c>
      <c r="K63" s="18">
        <f t="shared" si="5"/>
        <v>0</v>
      </c>
      <c r="L63" s="2"/>
    </row>
    <row r="64" spans="2:12">
      <c r="B64" s="2"/>
      <c r="C64" s="37" t="s">
        <v>174</v>
      </c>
      <c r="D64" s="38"/>
      <c r="E64" s="39">
        <v>0</v>
      </c>
      <c r="F64" s="34" t="s">
        <v>103</v>
      </c>
      <c r="G64" s="51">
        <v>0</v>
      </c>
      <c r="H64" s="51">
        <v>0</v>
      </c>
      <c r="I64" s="18">
        <f t="shared" si="3"/>
        <v>0</v>
      </c>
      <c r="J64" s="17">
        <f t="shared" si="4"/>
        <v>0</v>
      </c>
      <c r="K64" s="18">
        <f t="shared" si="5"/>
        <v>0</v>
      </c>
      <c r="L64" s="2"/>
    </row>
    <row r="65" spans="2:12">
      <c r="B65" s="2"/>
      <c r="C65" s="37" t="s">
        <v>175</v>
      </c>
      <c r="D65" s="38"/>
      <c r="E65" s="39">
        <v>0</v>
      </c>
      <c r="F65" s="34" t="s">
        <v>103</v>
      </c>
      <c r="G65" s="51">
        <v>0</v>
      </c>
      <c r="H65" s="51">
        <v>0</v>
      </c>
      <c r="I65" s="18">
        <f t="shared" si="3"/>
        <v>0</v>
      </c>
      <c r="J65" s="17">
        <f t="shared" si="4"/>
        <v>0</v>
      </c>
      <c r="K65" s="18">
        <f t="shared" si="5"/>
        <v>0</v>
      </c>
      <c r="L65" s="2"/>
    </row>
    <row r="66" spans="2:12">
      <c r="B66" s="2"/>
      <c r="C66" s="37" t="s">
        <v>176</v>
      </c>
      <c r="D66" s="38"/>
      <c r="E66" s="39">
        <v>0</v>
      </c>
      <c r="F66" s="34" t="s">
        <v>103</v>
      </c>
      <c r="G66" s="51">
        <v>0</v>
      </c>
      <c r="H66" s="51">
        <v>0</v>
      </c>
      <c r="I66" s="18">
        <f t="shared" si="3"/>
        <v>0</v>
      </c>
      <c r="J66" s="17">
        <f t="shared" si="4"/>
        <v>0</v>
      </c>
      <c r="K66" s="18">
        <f t="shared" si="5"/>
        <v>0</v>
      </c>
      <c r="L66" s="2"/>
    </row>
    <row r="67" spans="2:12">
      <c r="B67" s="2"/>
      <c r="C67" s="37" t="s">
        <v>177</v>
      </c>
      <c r="D67" s="38"/>
      <c r="E67" s="39">
        <v>0</v>
      </c>
      <c r="F67" s="34" t="s">
        <v>103</v>
      </c>
      <c r="G67" s="51">
        <v>0</v>
      </c>
      <c r="H67" s="51">
        <v>0</v>
      </c>
      <c r="I67" s="18">
        <f t="shared" si="3"/>
        <v>0</v>
      </c>
      <c r="J67" s="17">
        <f t="shared" si="4"/>
        <v>0</v>
      </c>
      <c r="K67" s="18">
        <f t="shared" si="5"/>
        <v>0</v>
      </c>
      <c r="L67" s="2"/>
    </row>
    <row r="68" spans="2:12">
      <c r="B68" s="2"/>
      <c r="C68" s="37" t="s">
        <v>178</v>
      </c>
      <c r="D68" s="38"/>
      <c r="E68" s="39">
        <v>0</v>
      </c>
      <c r="F68" s="34" t="s">
        <v>103</v>
      </c>
      <c r="G68" s="51">
        <v>0</v>
      </c>
      <c r="H68" s="51">
        <v>0</v>
      </c>
      <c r="I68" s="18">
        <f t="shared" si="3"/>
        <v>0</v>
      </c>
      <c r="J68" s="17">
        <f t="shared" si="4"/>
        <v>0</v>
      </c>
      <c r="K68" s="18">
        <f t="shared" si="5"/>
        <v>0</v>
      </c>
      <c r="L68" s="2"/>
    </row>
    <row r="69" spans="2:12">
      <c r="B69" s="2"/>
      <c r="C69" s="37" t="s">
        <v>179</v>
      </c>
      <c r="D69" s="38"/>
      <c r="E69" s="39">
        <v>0</v>
      </c>
      <c r="F69" s="34" t="s">
        <v>103</v>
      </c>
      <c r="G69" s="51">
        <v>0</v>
      </c>
      <c r="H69" s="51">
        <v>0</v>
      </c>
      <c r="I69" s="18">
        <f t="shared" si="3"/>
        <v>0</v>
      </c>
      <c r="J69" s="17">
        <f t="shared" si="4"/>
        <v>0</v>
      </c>
      <c r="K69" s="18">
        <f t="shared" si="5"/>
        <v>0</v>
      </c>
      <c r="L69" s="2"/>
    </row>
    <row r="70" spans="2:12">
      <c r="B70" s="2"/>
      <c r="C70" s="37" t="s">
        <v>180</v>
      </c>
      <c r="D70" s="38"/>
      <c r="E70" s="39">
        <v>0</v>
      </c>
      <c r="F70" s="34" t="s">
        <v>103</v>
      </c>
      <c r="G70" s="51">
        <v>0</v>
      </c>
      <c r="H70" s="51">
        <v>0</v>
      </c>
      <c r="I70" s="18">
        <f t="shared" si="3"/>
        <v>0</v>
      </c>
      <c r="J70" s="17">
        <f t="shared" si="4"/>
        <v>0</v>
      </c>
      <c r="K70" s="18">
        <f t="shared" si="5"/>
        <v>0</v>
      </c>
      <c r="L70" s="2"/>
    </row>
    <row r="71" spans="2:12">
      <c r="B71" s="2"/>
      <c r="C71" s="37" t="s">
        <v>181</v>
      </c>
      <c r="D71" s="38"/>
      <c r="E71" s="39">
        <v>0</v>
      </c>
      <c r="F71" s="34" t="s">
        <v>103</v>
      </c>
      <c r="G71" s="51">
        <v>0</v>
      </c>
      <c r="H71" s="51">
        <v>0</v>
      </c>
      <c r="I71" s="18">
        <f t="shared" si="3"/>
        <v>0</v>
      </c>
      <c r="J71" s="17">
        <f t="shared" si="4"/>
        <v>0</v>
      </c>
      <c r="K71" s="18">
        <f t="shared" si="5"/>
        <v>0</v>
      </c>
      <c r="L71" s="2"/>
    </row>
    <row r="72" spans="2:12">
      <c r="B72" s="2"/>
      <c r="C72" s="37" t="s">
        <v>182</v>
      </c>
      <c r="D72" s="38"/>
      <c r="E72" s="39">
        <v>0</v>
      </c>
      <c r="F72" s="34" t="s">
        <v>103</v>
      </c>
      <c r="G72" s="51">
        <v>0</v>
      </c>
      <c r="H72" s="51">
        <v>0</v>
      </c>
      <c r="I72" s="18">
        <f t="shared" si="3"/>
        <v>0</v>
      </c>
      <c r="J72" s="17">
        <f t="shared" si="4"/>
        <v>0</v>
      </c>
      <c r="K72" s="18">
        <f t="shared" si="5"/>
        <v>0</v>
      </c>
      <c r="L72" s="2"/>
    </row>
    <row r="73" spans="2:12">
      <c r="B73" s="2"/>
      <c r="C73" s="37" t="s">
        <v>183</v>
      </c>
      <c r="D73" s="38"/>
      <c r="E73" s="39">
        <v>0</v>
      </c>
      <c r="F73" s="34" t="s">
        <v>103</v>
      </c>
      <c r="G73" s="51">
        <v>0</v>
      </c>
      <c r="H73" s="51">
        <v>0</v>
      </c>
      <c r="I73" s="18">
        <f t="shared" si="3"/>
        <v>0</v>
      </c>
      <c r="J73" s="17">
        <f t="shared" si="4"/>
        <v>0</v>
      </c>
      <c r="K73" s="18">
        <f t="shared" si="5"/>
        <v>0</v>
      </c>
      <c r="L73" s="2"/>
    </row>
    <row r="74" spans="2:12">
      <c r="B74" s="2"/>
      <c r="C74" s="37" t="s">
        <v>184</v>
      </c>
      <c r="D74" s="38"/>
      <c r="E74" s="39">
        <v>0</v>
      </c>
      <c r="F74" s="34" t="s">
        <v>103</v>
      </c>
      <c r="G74" s="51">
        <v>0</v>
      </c>
      <c r="H74" s="51">
        <v>0</v>
      </c>
      <c r="I74" s="18">
        <f t="shared" si="3"/>
        <v>0</v>
      </c>
      <c r="J74" s="17">
        <f t="shared" si="4"/>
        <v>0</v>
      </c>
      <c r="K74" s="18">
        <f t="shared" si="5"/>
        <v>0</v>
      </c>
      <c r="L74" s="2"/>
    </row>
    <row r="75" spans="2:12">
      <c r="B75" s="2"/>
      <c r="C75" s="37" t="s">
        <v>185</v>
      </c>
      <c r="D75" s="38"/>
      <c r="E75" s="39">
        <v>0</v>
      </c>
      <c r="F75" s="34" t="s">
        <v>103</v>
      </c>
      <c r="G75" s="51">
        <v>0</v>
      </c>
      <c r="H75" s="51">
        <v>0</v>
      </c>
      <c r="I75" s="18">
        <f t="shared" si="3"/>
        <v>0</v>
      </c>
      <c r="J75" s="17">
        <f t="shared" si="4"/>
        <v>0</v>
      </c>
      <c r="K75" s="18">
        <f t="shared" si="5"/>
        <v>0</v>
      </c>
      <c r="L75" s="2"/>
    </row>
    <row r="76" spans="2:12">
      <c r="B76" s="2"/>
      <c r="C76" s="37" t="s">
        <v>186</v>
      </c>
      <c r="D76" s="38"/>
      <c r="E76" s="39">
        <v>0</v>
      </c>
      <c r="F76" s="34" t="s">
        <v>103</v>
      </c>
      <c r="G76" s="51">
        <v>0</v>
      </c>
      <c r="H76" s="51">
        <v>0</v>
      </c>
      <c r="I76" s="18">
        <f t="shared" si="3"/>
        <v>0</v>
      </c>
      <c r="J76" s="17">
        <f t="shared" si="4"/>
        <v>0</v>
      </c>
      <c r="K76" s="18">
        <f t="shared" si="5"/>
        <v>0</v>
      </c>
      <c r="L76" s="2"/>
    </row>
    <row r="77" spans="2:12">
      <c r="B77" s="2"/>
      <c r="C77" s="37" t="s">
        <v>187</v>
      </c>
      <c r="D77" s="38"/>
      <c r="E77" s="39">
        <v>0</v>
      </c>
      <c r="F77" s="34" t="s">
        <v>103</v>
      </c>
      <c r="G77" s="51">
        <v>0</v>
      </c>
      <c r="H77" s="51">
        <v>0</v>
      </c>
      <c r="I77" s="18">
        <f t="shared" si="3"/>
        <v>0</v>
      </c>
      <c r="J77" s="17">
        <f t="shared" si="4"/>
        <v>0</v>
      </c>
      <c r="K77" s="18">
        <f t="shared" si="5"/>
        <v>0</v>
      </c>
      <c r="L77" s="2"/>
    </row>
    <row r="78" spans="2:12">
      <c r="B78" s="2"/>
      <c r="C78" s="37" t="s">
        <v>188</v>
      </c>
      <c r="D78" s="38"/>
      <c r="E78" s="39">
        <v>0</v>
      </c>
      <c r="F78" s="34" t="s">
        <v>103</v>
      </c>
      <c r="G78" s="51">
        <v>0</v>
      </c>
      <c r="H78" s="51">
        <v>0</v>
      </c>
      <c r="I78" s="18">
        <f t="shared" si="3"/>
        <v>0</v>
      </c>
      <c r="J78" s="17">
        <f t="shared" si="4"/>
        <v>0</v>
      </c>
      <c r="K78" s="18">
        <f t="shared" si="5"/>
        <v>0</v>
      </c>
      <c r="L78" s="2"/>
    </row>
    <row r="79" spans="2:12">
      <c r="B79" s="2"/>
      <c r="C79" s="37" t="s">
        <v>189</v>
      </c>
      <c r="D79" s="38"/>
      <c r="E79" s="39">
        <v>0</v>
      </c>
      <c r="F79" s="34" t="s">
        <v>103</v>
      </c>
      <c r="G79" s="51">
        <v>0</v>
      </c>
      <c r="H79" s="51">
        <v>0</v>
      </c>
      <c r="I79" s="18">
        <f t="shared" si="3"/>
        <v>0</v>
      </c>
      <c r="J79" s="17">
        <f t="shared" si="4"/>
        <v>0</v>
      </c>
      <c r="K79" s="18">
        <f t="shared" si="5"/>
        <v>0</v>
      </c>
      <c r="L79" s="2"/>
    </row>
    <row r="80" spans="2:12">
      <c r="B80" s="2"/>
      <c r="C80" s="37" t="s">
        <v>190</v>
      </c>
      <c r="D80" s="38"/>
      <c r="E80" s="39">
        <v>0</v>
      </c>
      <c r="F80" s="34" t="s">
        <v>103</v>
      </c>
      <c r="G80" s="51">
        <v>0</v>
      </c>
      <c r="H80" s="51">
        <v>0</v>
      </c>
      <c r="I80" s="18">
        <f t="shared" ref="I80:I111" si="6">G80-H80</f>
        <v>0</v>
      </c>
      <c r="J80" s="17">
        <f t="shared" ref="J80:J115" si="7">IFERROR(IF(E80=3101,0.028,IF(E80=3102,0.028,IF(E80=3103,0.04,IF(E80=3104,0.06,IF(E80=3105,0.12,IF(E80=3106,0.15,0)))))),0)</f>
        <v>0</v>
      </c>
      <c r="K80" s="18">
        <f t="shared" ref="K80:K111" si="8">I80*J80</f>
        <v>0</v>
      </c>
      <c r="L80" s="2"/>
    </row>
    <row r="81" spans="2:12">
      <c r="B81" s="2"/>
      <c r="C81" s="37" t="s">
        <v>191</v>
      </c>
      <c r="D81" s="38"/>
      <c r="E81" s="39">
        <v>0</v>
      </c>
      <c r="F81" s="34" t="s">
        <v>103</v>
      </c>
      <c r="G81" s="51">
        <v>0</v>
      </c>
      <c r="H81" s="51">
        <v>0</v>
      </c>
      <c r="I81" s="18">
        <f t="shared" si="6"/>
        <v>0</v>
      </c>
      <c r="J81" s="17">
        <f t="shared" si="7"/>
        <v>0</v>
      </c>
      <c r="K81" s="18">
        <f t="shared" si="8"/>
        <v>0</v>
      </c>
      <c r="L81" s="2"/>
    </row>
    <row r="82" spans="2:12">
      <c r="B82" s="2"/>
      <c r="C82" s="37" t="s">
        <v>192</v>
      </c>
      <c r="D82" s="38"/>
      <c r="E82" s="39">
        <v>0</v>
      </c>
      <c r="F82" s="34" t="s">
        <v>103</v>
      </c>
      <c r="G82" s="51">
        <v>0</v>
      </c>
      <c r="H82" s="51">
        <v>0</v>
      </c>
      <c r="I82" s="18">
        <f t="shared" si="6"/>
        <v>0</v>
      </c>
      <c r="J82" s="17">
        <f t="shared" si="7"/>
        <v>0</v>
      </c>
      <c r="K82" s="18">
        <f t="shared" si="8"/>
        <v>0</v>
      </c>
      <c r="L82" s="2"/>
    </row>
    <row r="83" spans="2:12">
      <c r="B83" s="2"/>
      <c r="C83" s="37" t="s">
        <v>193</v>
      </c>
      <c r="D83" s="38"/>
      <c r="E83" s="39">
        <v>0</v>
      </c>
      <c r="F83" s="34" t="s">
        <v>103</v>
      </c>
      <c r="G83" s="51">
        <v>0</v>
      </c>
      <c r="H83" s="51">
        <v>0</v>
      </c>
      <c r="I83" s="18">
        <f t="shared" si="6"/>
        <v>0</v>
      </c>
      <c r="J83" s="17">
        <f t="shared" si="7"/>
        <v>0</v>
      </c>
      <c r="K83" s="18">
        <f t="shared" si="8"/>
        <v>0</v>
      </c>
      <c r="L83" s="2"/>
    </row>
    <row r="84" spans="2:12">
      <c r="B84" s="2"/>
      <c r="C84" s="37" t="s">
        <v>194</v>
      </c>
      <c r="D84" s="38"/>
      <c r="E84" s="39">
        <v>0</v>
      </c>
      <c r="F84" s="34" t="s">
        <v>103</v>
      </c>
      <c r="G84" s="51">
        <v>0</v>
      </c>
      <c r="H84" s="51">
        <v>0</v>
      </c>
      <c r="I84" s="18">
        <f t="shared" si="6"/>
        <v>0</v>
      </c>
      <c r="J84" s="17">
        <f t="shared" si="7"/>
        <v>0</v>
      </c>
      <c r="K84" s="18">
        <f t="shared" si="8"/>
        <v>0</v>
      </c>
      <c r="L84" s="2"/>
    </row>
    <row r="85" spans="2:12">
      <c r="B85" s="2"/>
      <c r="C85" s="37" t="s">
        <v>195</v>
      </c>
      <c r="D85" s="38"/>
      <c r="E85" s="39">
        <v>0</v>
      </c>
      <c r="F85" s="34" t="s">
        <v>103</v>
      </c>
      <c r="G85" s="51">
        <v>0</v>
      </c>
      <c r="H85" s="51">
        <v>0</v>
      </c>
      <c r="I85" s="18">
        <f t="shared" si="6"/>
        <v>0</v>
      </c>
      <c r="J85" s="17">
        <f t="shared" si="7"/>
        <v>0</v>
      </c>
      <c r="K85" s="18">
        <f t="shared" si="8"/>
        <v>0</v>
      </c>
      <c r="L85" s="2"/>
    </row>
    <row r="86" spans="2:12">
      <c r="B86" s="2"/>
      <c r="C86" s="37" t="s">
        <v>196</v>
      </c>
      <c r="D86" s="38"/>
      <c r="E86" s="39">
        <v>0</v>
      </c>
      <c r="F86" s="34" t="s">
        <v>103</v>
      </c>
      <c r="G86" s="51">
        <v>0</v>
      </c>
      <c r="H86" s="51">
        <v>0</v>
      </c>
      <c r="I86" s="18">
        <f t="shared" si="6"/>
        <v>0</v>
      </c>
      <c r="J86" s="17">
        <f t="shared" si="7"/>
        <v>0</v>
      </c>
      <c r="K86" s="18">
        <f t="shared" si="8"/>
        <v>0</v>
      </c>
      <c r="L86" s="2"/>
    </row>
    <row r="87" spans="2:12">
      <c r="B87" s="2"/>
      <c r="C87" s="37" t="s">
        <v>197</v>
      </c>
      <c r="D87" s="38"/>
      <c r="E87" s="39">
        <v>0</v>
      </c>
      <c r="F87" s="34" t="s">
        <v>103</v>
      </c>
      <c r="G87" s="51">
        <v>0</v>
      </c>
      <c r="H87" s="51">
        <v>0</v>
      </c>
      <c r="I87" s="18">
        <f t="shared" si="6"/>
        <v>0</v>
      </c>
      <c r="J87" s="17">
        <f t="shared" si="7"/>
        <v>0</v>
      </c>
      <c r="K87" s="18">
        <f t="shared" si="8"/>
        <v>0</v>
      </c>
      <c r="L87" s="2"/>
    </row>
    <row r="88" spans="2:12">
      <c r="B88" s="2"/>
      <c r="C88" s="37" t="s">
        <v>198</v>
      </c>
      <c r="D88" s="38"/>
      <c r="E88" s="39">
        <v>0</v>
      </c>
      <c r="F88" s="34" t="s">
        <v>103</v>
      </c>
      <c r="G88" s="51">
        <v>0</v>
      </c>
      <c r="H88" s="51">
        <v>0</v>
      </c>
      <c r="I88" s="18">
        <f t="shared" si="6"/>
        <v>0</v>
      </c>
      <c r="J88" s="17">
        <f t="shared" si="7"/>
        <v>0</v>
      </c>
      <c r="K88" s="18">
        <f t="shared" si="8"/>
        <v>0</v>
      </c>
      <c r="L88" s="2"/>
    </row>
    <row r="89" spans="2:12">
      <c r="B89" s="2"/>
      <c r="C89" s="37" t="s">
        <v>199</v>
      </c>
      <c r="D89" s="38"/>
      <c r="E89" s="39">
        <v>0</v>
      </c>
      <c r="F89" s="34" t="s">
        <v>103</v>
      </c>
      <c r="G89" s="51">
        <v>0</v>
      </c>
      <c r="H89" s="51">
        <v>0</v>
      </c>
      <c r="I89" s="18">
        <f t="shared" si="6"/>
        <v>0</v>
      </c>
      <c r="J89" s="17">
        <f t="shared" si="7"/>
        <v>0</v>
      </c>
      <c r="K89" s="18">
        <f t="shared" si="8"/>
        <v>0</v>
      </c>
      <c r="L89" s="2"/>
    </row>
    <row r="90" spans="2:12">
      <c r="B90" s="2"/>
      <c r="C90" s="37" t="s">
        <v>200</v>
      </c>
      <c r="D90" s="38"/>
      <c r="E90" s="39">
        <v>0</v>
      </c>
      <c r="F90" s="34" t="s">
        <v>103</v>
      </c>
      <c r="G90" s="51">
        <v>0</v>
      </c>
      <c r="H90" s="51">
        <v>0</v>
      </c>
      <c r="I90" s="18">
        <f t="shared" si="6"/>
        <v>0</v>
      </c>
      <c r="J90" s="17">
        <f t="shared" si="7"/>
        <v>0</v>
      </c>
      <c r="K90" s="18">
        <f t="shared" si="8"/>
        <v>0</v>
      </c>
      <c r="L90" s="2"/>
    </row>
    <row r="91" spans="2:12">
      <c r="B91" s="2"/>
      <c r="C91" s="37" t="s">
        <v>201</v>
      </c>
      <c r="D91" s="38"/>
      <c r="E91" s="39">
        <v>0</v>
      </c>
      <c r="F91" s="34" t="s">
        <v>103</v>
      </c>
      <c r="G91" s="51">
        <v>0</v>
      </c>
      <c r="H91" s="51">
        <v>0</v>
      </c>
      <c r="I91" s="18">
        <f t="shared" si="6"/>
        <v>0</v>
      </c>
      <c r="J91" s="17">
        <f t="shared" si="7"/>
        <v>0</v>
      </c>
      <c r="K91" s="18">
        <f t="shared" si="8"/>
        <v>0</v>
      </c>
      <c r="L91" s="2"/>
    </row>
    <row r="92" spans="2:12">
      <c r="B92" s="2"/>
      <c r="C92" s="37" t="s">
        <v>202</v>
      </c>
      <c r="D92" s="38"/>
      <c r="E92" s="39">
        <v>0</v>
      </c>
      <c r="F92" s="34" t="s">
        <v>103</v>
      </c>
      <c r="G92" s="51">
        <v>0</v>
      </c>
      <c r="H92" s="51">
        <v>0</v>
      </c>
      <c r="I92" s="18">
        <f t="shared" si="6"/>
        <v>0</v>
      </c>
      <c r="J92" s="17">
        <f t="shared" si="7"/>
        <v>0</v>
      </c>
      <c r="K92" s="18">
        <f t="shared" si="8"/>
        <v>0</v>
      </c>
      <c r="L92" s="2"/>
    </row>
    <row r="93" spans="2:12">
      <c r="B93" s="2"/>
      <c r="C93" s="37" t="s">
        <v>203</v>
      </c>
      <c r="D93" s="38"/>
      <c r="E93" s="39">
        <v>0</v>
      </c>
      <c r="F93" s="34" t="s">
        <v>103</v>
      </c>
      <c r="G93" s="51">
        <v>0</v>
      </c>
      <c r="H93" s="51">
        <v>0</v>
      </c>
      <c r="I93" s="18">
        <f t="shared" si="6"/>
        <v>0</v>
      </c>
      <c r="J93" s="17">
        <f t="shared" si="7"/>
        <v>0</v>
      </c>
      <c r="K93" s="18">
        <f t="shared" si="8"/>
        <v>0</v>
      </c>
      <c r="L93" s="2"/>
    </row>
    <row r="94" spans="2:12">
      <c r="B94" s="2"/>
      <c r="C94" s="37" t="s">
        <v>204</v>
      </c>
      <c r="D94" s="38"/>
      <c r="E94" s="39">
        <v>0</v>
      </c>
      <c r="F94" s="34" t="s">
        <v>103</v>
      </c>
      <c r="G94" s="51">
        <v>0</v>
      </c>
      <c r="H94" s="51">
        <v>0</v>
      </c>
      <c r="I94" s="18">
        <f t="shared" si="6"/>
        <v>0</v>
      </c>
      <c r="J94" s="17">
        <f t="shared" si="7"/>
        <v>0</v>
      </c>
      <c r="K94" s="18">
        <f t="shared" si="8"/>
        <v>0</v>
      </c>
      <c r="L94" s="2"/>
    </row>
    <row r="95" spans="2:12">
      <c r="B95" s="2"/>
      <c r="C95" s="37" t="s">
        <v>205</v>
      </c>
      <c r="D95" s="38"/>
      <c r="E95" s="39">
        <v>0</v>
      </c>
      <c r="F95" s="34" t="s">
        <v>103</v>
      </c>
      <c r="G95" s="51">
        <v>0</v>
      </c>
      <c r="H95" s="51">
        <v>0</v>
      </c>
      <c r="I95" s="18">
        <f t="shared" si="6"/>
        <v>0</v>
      </c>
      <c r="J95" s="17">
        <f t="shared" si="7"/>
        <v>0</v>
      </c>
      <c r="K95" s="18">
        <f t="shared" si="8"/>
        <v>0</v>
      </c>
      <c r="L95" s="2"/>
    </row>
    <row r="96" spans="2:12">
      <c r="B96" s="2"/>
      <c r="C96" s="37" t="s">
        <v>206</v>
      </c>
      <c r="D96" s="38"/>
      <c r="E96" s="39">
        <v>0</v>
      </c>
      <c r="F96" s="34" t="s">
        <v>103</v>
      </c>
      <c r="G96" s="51">
        <v>0</v>
      </c>
      <c r="H96" s="51">
        <v>0</v>
      </c>
      <c r="I96" s="18">
        <f t="shared" si="6"/>
        <v>0</v>
      </c>
      <c r="J96" s="17">
        <f t="shared" si="7"/>
        <v>0</v>
      </c>
      <c r="K96" s="18">
        <f t="shared" si="8"/>
        <v>0</v>
      </c>
      <c r="L96" s="2"/>
    </row>
    <row r="97" spans="2:12">
      <c r="B97" s="2"/>
      <c r="C97" s="37" t="s">
        <v>207</v>
      </c>
      <c r="D97" s="38"/>
      <c r="E97" s="39">
        <v>0</v>
      </c>
      <c r="F97" s="34" t="s">
        <v>103</v>
      </c>
      <c r="G97" s="51">
        <v>0</v>
      </c>
      <c r="H97" s="51">
        <v>0</v>
      </c>
      <c r="I97" s="18">
        <f t="shared" si="6"/>
        <v>0</v>
      </c>
      <c r="J97" s="17">
        <f t="shared" si="7"/>
        <v>0</v>
      </c>
      <c r="K97" s="18">
        <f t="shared" si="8"/>
        <v>0</v>
      </c>
      <c r="L97" s="2"/>
    </row>
    <row r="98" spans="2:12">
      <c r="B98" s="2"/>
      <c r="C98" s="37" t="s">
        <v>208</v>
      </c>
      <c r="D98" s="38"/>
      <c r="E98" s="39">
        <v>0</v>
      </c>
      <c r="F98" s="34" t="s">
        <v>103</v>
      </c>
      <c r="G98" s="51">
        <v>0</v>
      </c>
      <c r="H98" s="51">
        <v>0</v>
      </c>
      <c r="I98" s="18">
        <f t="shared" si="6"/>
        <v>0</v>
      </c>
      <c r="J98" s="17">
        <f t="shared" si="7"/>
        <v>0</v>
      </c>
      <c r="K98" s="18">
        <f t="shared" si="8"/>
        <v>0</v>
      </c>
      <c r="L98" s="2"/>
    </row>
    <row r="99" spans="2:12">
      <c r="B99" s="2"/>
      <c r="C99" s="37" t="s">
        <v>209</v>
      </c>
      <c r="D99" s="38"/>
      <c r="E99" s="39">
        <v>0</v>
      </c>
      <c r="F99" s="34" t="s">
        <v>103</v>
      </c>
      <c r="G99" s="51">
        <v>0</v>
      </c>
      <c r="H99" s="51">
        <v>0</v>
      </c>
      <c r="I99" s="18">
        <f t="shared" si="6"/>
        <v>0</v>
      </c>
      <c r="J99" s="17">
        <f t="shared" si="7"/>
        <v>0</v>
      </c>
      <c r="K99" s="18">
        <f t="shared" si="8"/>
        <v>0</v>
      </c>
      <c r="L99" s="2"/>
    </row>
    <row r="100" spans="2:12">
      <c r="B100" s="2"/>
      <c r="C100" s="37" t="s">
        <v>210</v>
      </c>
      <c r="D100" s="38"/>
      <c r="E100" s="39">
        <v>0</v>
      </c>
      <c r="F100" s="34" t="s">
        <v>103</v>
      </c>
      <c r="G100" s="51">
        <v>0</v>
      </c>
      <c r="H100" s="51">
        <v>0</v>
      </c>
      <c r="I100" s="18">
        <f t="shared" si="6"/>
        <v>0</v>
      </c>
      <c r="J100" s="17">
        <f t="shared" si="7"/>
        <v>0</v>
      </c>
      <c r="K100" s="18">
        <f t="shared" si="8"/>
        <v>0</v>
      </c>
      <c r="L100" s="2"/>
    </row>
    <row r="101" spans="2:12">
      <c r="B101" s="2"/>
      <c r="C101" s="37" t="s">
        <v>211</v>
      </c>
      <c r="D101" s="38"/>
      <c r="E101" s="39">
        <v>0</v>
      </c>
      <c r="F101" s="34" t="s">
        <v>103</v>
      </c>
      <c r="G101" s="51">
        <v>0</v>
      </c>
      <c r="H101" s="51">
        <v>0</v>
      </c>
      <c r="I101" s="18">
        <f t="shared" si="6"/>
        <v>0</v>
      </c>
      <c r="J101" s="17">
        <f t="shared" si="7"/>
        <v>0</v>
      </c>
      <c r="K101" s="18">
        <f t="shared" si="8"/>
        <v>0</v>
      </c>
      <c r="L101" s="2"/>
    </row>
    <row r="102" spans="2:12">
      <c r="B102" s="2"/>
      <c r="C102" s="37" t="s">
        <v>212</v>
      </c>
      <c r="D102" s="38"/>
      <c r="E102" s="39">
        <v>0</v>
      </c>
      <c r="F102" s="34" t="s">
        <v>103</v>
      </c>
      <c r="G102" s="51">
        <v>0</v>
      </c>
      <c r="H102" s="51">
        <v>0</v>
      </c>
      <c r="I102" s="18">
        <f t="shared" si="6"/>
        <v>0</v>
      </c>
      <c r="J102" s="17">
        <f t="shared" si="7"/>
        <v>0</v>
      </c>
      <c r="K102" s="18">
        <f t="shared" si="8"/>
        <v>0</v>
      </c>
      <c r="L102" s="2"/>
    </row>
    <row r="103" spans="2:12">
      <c r="B103" s="2"/>
      <c r="C103" s="37" t="s">
        <v>213</v>
      </c>
      <c r="D103" s="38"/>
      <c r="E103" s="39">
        <v>0</v>
      </c>
      <c r="F103" s="34" t="s">
        <v>103</v>
      </c>
      <c r="G103" s="51">
        <v>0</v>
      </c>
      <c r="H103" s="51">
        <v>0</v>
      </c>
      <c r="I103" s="18">
        <f t="shared" si="6"/>
        <v>0</v>
      </c>
      <c r="J103" s="17">
        <f t="shared" si="7"/>
        <v>0</v>
      </c>
      <c r="K103" s="18">
        <f t="shared" si="8"/>
        <v>0</v>
      </c>
      <c r="L103" s="2"/>
    </row>
    <row r="104" spans="2:12">
      <c r="B104" s="2"/>
      <c r="C104" s="37" t="s">
        <v>214</v>
      </c>
      <c r="D104" s="38"/>
      <c r="E104" s="39">
        <v>0</v>
      </c>
      <c r="F104" s="34" t="s">
        <v>103</v>
      </c>
      <c r="G104" s="51">
        <v>0</v>
      </c>
      <c r="H104" s="51">
        <v>0</v>
      </c>
      <c r="I104" s="18">
        <f t="shared" si="6"/>
        <v>0</v>
      </c>
      <c r="J104" s="17">
        <f t="shared" si="7"/>
        <v>0</v>
      </c>
      <c r="K104" s="18">
        <f t="shared" si="8"/>
        <v>0</v>
      </c>
      <c r="L104" s="2"/>
    </row>
    <row r="105" spans="2:12">
      <c r="B105" s="2"/>
      <c r="C105" s="37" t="s">
        <v>215</v>
      </c>
      <c r="D105" s="38"/>
      <c r="E105" s="39">
        <v>0</v>
      </c>
      <c r="F105" s="34" t="s">
        <v>103</v>
      </c>
      <c r="G105" s="51">
        <v>0</v>
      </c>
      <c r="H105" s="51">
        <v>0</v>
      </c>
      <c r="I105" s="18">
        <f t="shared" si="6"/>
        <v>0</v>
      </c>
      <c r="J105" s="17">
        <f t="shared" si="7"/>
        <v>0</v>
      </c>
      <c r="K105" s="18">
        <f t="shared" si="8"/>
        <v>0</v>
      </c>
      <c r="L105" s="2"/>
    </row>
    <row r="106" spans="2:12">
      <c r="B106" s="2"/>
      <c r="C106" s="37" t="s">
        <v>216</v>
      </c>
      <c r="D106" s="38"/>
      <c r="E106" s="39">
        <v>0</v>
      </c>
      <c r="F106" s="34" t="s">
        <v>103</v>
      </c>
      <c r="G106" s="51">
        <v>0</v>
      </c>
      <c r="H106" s="51">
        <v>0</v>
      </c>
      <c r="I106" s="18">
        <f t="shared" si="6"/>
        <v>0</v>
      </c>
      <c r="J106" s="17">
        <f t="shared" si="7"/>
        <v>0</v>
      </c>
      <c r="K106" s="18">
        <f t="shared" si="8"/>
        <v>0</v>
      </c>
      <c r="L106" s="2"/>
    </row>
    <row r="107" spans="2:12">
      <c r="B107" s="2"/>
      <c r="C107" s="37" t="s">
        <v>217</v>
      </c>
      <c r="D107" s="38"/>
      <c r="E107" s="39">
        <v>0</v>
      </c>
      <c r="F107" s="34" t="s">
        <v>103</v>
      </c>
      <c r="G107" s="51">
        <v>0</v>
      </c>
      <c r="H107" s="51">
        <v>0</v>
      </c>
      <c r="I107" s="18">
        <f t="shared" si="6"/>
        <v>0</v>
      </c>
      <c r="J107" s="17">
        <f t="shared" si="7"/>
        <v>0</v>
      </c>
      <c r="K107" s="18">
        <f t="shared" si="8"/>
        <v>0</v>
      </c>
      <c r="L107" s="2"/>
    </row>
    <row r="108" spans="2:12">
      <c r="B108" s="2"/>
      <c r="C108" s="37" t="s">
        <v>218</v>
      </c>
      <c r="D108" s="38"/>
      <c r="E108" s="39">
        <v>0</v>
      </c>
      <c r="F108" s="34" t="s">
        <v>103</v>
      </c>
      <c r="G108" s="51">
        <v>0</v>
      </c>
      <c r="H108" s="51">
        <v>0</v>
      </c>
      <c r="I108" s="18">
        <f t="shared" si="6"/>
        <v>0</v>
      </c>
      <c r="J108" s="17">
        <f t="shared" si="7"/>
        <v>0</v>
      </c>
      <c r="K108" s="18">
        <f t="shared" si="8"/>
        <v>0</v>
      </c>
      <c r="L108" s="2"/>
    </row>
    <row r="109" spans="2:12">
      <c r="B109" s="2"/>
      <c r="C109" s="37" t="s">
        <v>219</v>
      </c>
      <c r="D109" s="38"/>
      <c r="E109" s="39">
        <v>0</v>
      </c>
      <c r="F109" s="34" t="s">
        <v>103</v>
      </c>
      <c r="G109" s="51">
        <v>0</v>
      </c>
      <c r="H109" s="51">
        <v>0</v>
      </c>
      <c r="I109" s="18">
        <f t="shared" si="6"/>
        <v>0</v>
      </c>
      <c r="J109" s="17">
        <f t="shared" si="7"/>
        <v>0</v>
      </c>
      <c r="K109" s="18">
        <f t="shared" si="8"/>
        <v>0</v>
      </c>
      <c r="L109" s="2"/>
    </row>
    <row r="110" spans="2:12">
      <c r="B110" s="2"/>
      <c r="C110" s="37" t="s">
        <v>220</v>
      </c>
      <c r="D110" s="38"/>
      <c r="E110" s="39">
        <v>0</v>
      </c>
      <c r="F110" s="34" t="s">
        <v>103</v>
      </c>
      <c r="G110" s="51">
        <v>0</v>
      </c>
      <c r="H110" s="51">
        <v>0</v>
      </c>
      <c r="I110" s="18">
        <f t="shared" si="6"/>
        <v>0</v>
      </c>
      <c r="J110" s="17">
        <f t="shared" si="7"/>
        <v>0</v>
      </c>
      <c r="K110" s="18">
        <f t="shared" si="8"/>
        <v>0</v>
      </c>
      <c r="L110" s="2"/>
    </row>
    <row r="111" spans="2:12">
      <c r="B111" s="2"/>
      <c r="C111" s="37" t="s">
        <v>221</v>
      </c>
      <c r="D111" s="38"/>
      <c r="E111" s="39">
        <v>0</v>
      </c>
      <c r="F111" s="34" t="s">
        <v>103</v>
      </c>
      <c r="G111" s="51">
        <v>0</v>
      </c>
      <c r="H111" s="51">
        <v>0</v>
      </c>
      <c r="I111" s="18">
        <f t="shared" si="6"/>
        <v>0</v>
      </c>
      <c r="J111" s="17">
        <f t="shared" si="7"/>
        <v>0</v>
      </c>
      <c r="K111" s="18">
        <f t="shared" si="8"/>
        <v>0</v>
      </c>
      <c r="L111" s="2"/>
    </row>
    <row r="112" spans="2:12">
      <c r="B112" s="2"/>
      <c r="C112" s="37" t="s">
        <v>222</v>
      </c>
      <c r="D112" s="38"/>
      <c r="E112" s="39">
        <v>0</v>
      </c>
      <c r="F112" s="34" t="s">
        <v>103</v>
      </c>
      <c r="G112" s="51">
        <v>0</v>
      </c>
      <c r="H112" s="51">
        <v>0</v>
      </c>
      <c r="I112" s="18">
        <f t="shared" ref="I112:I115" si="9">G112-H112</f>
        <v>0</v>
      </c>
      <c r="J112" s="17">
        <f t="shared" si="7"/>
        <v>0</v>
      </c>
      <c r="K112" s="18">
        <f t="shared" ref="K112:K115" si="10">I112*J112</f>
        <v>0</v>
      </c>
      <c r="L112" s="2"/>
    </row>
    <row r="113" spans="1:12">
      <c r="B113" s="2"/>
      <c r="C113" s="37" t="s">
        <v>223</v>
      </c>
      <c r="D113" s="38"/>
      <c r="E113" s="39">
        <v>0</v>
      </c>
      <c r="F113" s="34" t="s">
        <v>103</v>
      </c>
      <c r="G113" s="51">
        <v>0</v>
      </c>
      <c r="H113" s="51">
        <v>0</v>
      </c>
      <c r="I113" s="18">
        <f t="shared" si="9"/>
        <v>0</v>
      </c>
      <c r="J113" s="17">
        <f t="shared" si="7"/>
        <v>0</v>
      </c>
      <c r="K113" s="18">
        <f t="shared" si="10"/>
        <v>0</v>
      </c>
      <c r="L113" s="2"/>
    </row>
    <row r="114" spans="1:12" s="14" customFormat="1">
      <c r="B114" s="5"/>
      <c r="C114" s="49" t="s">
        <v>224</v>
      </c>
      <c r="D114" s="50"/>
      <c r="E114" s="39">
        <v>0</v>
      </c>
      <c r="F114" s="34" t="s">
        <v>103</v>
      </c>
      <c r="G114" s="51">
        <v>0</v>
      </c>
      <c r="H114" s="51">
        <v>0</v>
      </c>
      <c r="I114" s="23">
        <f t="shared" si="9"/>
        <v>0</v>
      </c>
      <c r="J114" s="19">
        <f t="shared" si="7"/>
        <v>0</v>
      </c>
      <c r="K114" s="23">
        <f t="shared" si="10"/>
        <v>0</v>
      </c>
      <c r="L114" s="5"/>
    </row>
    <row r="115" spans="1:12" s="14" customFormat="1">
      <c r="A115" s="15" t="s">
        <v>225</v>
      </c>
      <c r="B115" s="5"/>
      <c r="C115" s="49" t="s">
        <v>226</v>
      </c>
      <c r="D115" s="50"/>
      <c r="E115" s="39">
        <v>0</v>
      </c>
      <c r="F115" s="34" t="s">
        <v>103</v>
      </c>
      <c r="G115" s="51">
        <v>0</v>
      </c>
      <c r="H115" s="51">
        <v>0</v>
      </c>
      <c r="I115" s="23">
        <f t="shared" si="9"/>
        <v>0</v>
      </c>
      <c r="J115" s="19">
        <f t="shared" si="7"/>
        <v>0</v>
      </c>
      <c r="K115" s="23">
        <f t="shared" si="10"/>
        <v>0</v>
      </c>
      <c r="L115" s="5"/>
    </row>
    <row r="116" spans="1:12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 sheet="1" formatColumns="0" formatRows="0" insertRows="0" deleteRows="0" selectLockedCells="1"/>
  <mergeCells count="513">
    <mergeCell ref="C7:K7"/>
    <mergeCell ref="C9:K9"/>
    <mergeCell ref="C10:K10"/>
    <mergeCell ref="C11:K11"/>
    <mergeCell ref="C13:K13"/>
    <mergeCell ref="C17:D17"/>
    <mergeCell ref="E17"/>
    <mergeCell ref="F17"/>
    <mergeCell ref="G17"/>
    <mergeCell ref="H17"/>
    <mergeCell ref="I14:I15"/>
    <mergeCell ref="J14:J15"/>
    <mergeCell ref="K14:K15"/>
    <mergeCell ref="C16:D16"/>
    <mergeCell ref="E16"/>
    <mergeCell ref="F16"/>
    <mergeCell ref="G16"/>
    <mergeCell ref="H16"/>
    <mergeCell ref="C14:D15"/>
    <mergeCell ref="E14:E15"/>
    <mergeCell ref="F14:F15"/>
    <mergeCell ref="G14:G15"/>
    <mergeCell ref="H14:H15"/>
    <mergeCell ref="C19:D19"/>
    <mergeCell ref="E19"/>
    <mergeCell ref="F19"/>
    <mergeCell ref="G19"/>
    <mergeCell ref="H19"/>
    <mergeCell ref="C18:D18"/>
    <mergeCell ref="E18"/>
    <mergeCell ref="F18"/>
    <mergeCell ref="G18"/>
    <mergeCell ref="H18"/>
    <mergeCell ref="C21:D21"/>
    <mergeCell ref="E21"/>
    <mergeCell ref="F21"/>
    <mergeCell ref="G21"/>
    <mergeCell ref="H21"/>
    <mergeCell ref="C20:D20"/>
    <mergeCell ref="E20"/>
    <mergeCell ref="F20"/>
    <mergeCell ref="G20"/>
    <mergeCell ref="H20"/>
    <mergeCell ref="C23:D23"/>
    <mergeCell ref="E23"/>
    <mergeCell ref="F23"/>
    <mergeCell ref="G23"/>
    <mergeCell ref="H23"/>
    <mergeCell ref="C22:D22"/>
    <mergeCell ref="E22"/>
    <mergeCell ref="F22"/>
    <mergeCell ref="G22"/>
    <mergeCell ref="H22"/>
    <mergeCell ref="C25:D25"/>
    <mergeCell ref="E25"/>
    <mergeCell ref="F25"/>
    <mergeCell ref="G25"/>
    <mergeCell ref="H25"/>
    <mergeCell ref="C24:D24"/>
    <mergeCell ref="E24"/>
    <mergeCell ref="F24"/>
    <mergeCell ref="G24"/>
    <mergeCell ref="H24"/>
    <mergeCell ref="C27:D27"/>
    <mergeCell ref="E27"/>
    <mergeCell ref="F27"/>
    <mergeCell ref="G27"/>
    <mergeCell ref="H27"/>
    <mergeCell ref="C26:D26"/>
    <mergeCell ref="E26"/>
    <mergeCell ref="F26"/>
    <mergeCell ref="G26"/>
    <mergeCell ref="H26"/>
    <mergeCell ref="C29:D29"/>
    <mergeCell ref="E29"/>
    <mergeCell ref="F29"/>
    <mergeCell ref="G29"/>
    <mergeCell ref="H29"/>
    <mergeCell ref="C28:D28"/>
    <mergeCell ref="E28"/>
    <mergeCell ref="F28"/>
    <mergeCell ref="G28"/>
    <mergeCell ref="H28"/>
    <mergeCell ref="C31:D31"/>
    <mergeCell ref="E31"/>
    <mergeCell ref="F31"/>
    <mergeCell ref="G31"/>
    <mergeCell ref="H31"/>
    <mergeCell ref="C30:D30"/>
    <mergeCell ref="E30"/>
    <mergeCell ref="F30"/>
    <mergeCell ref="G30"/>
    <mergeCell ref="H30"/>
    <mergeCell ref="C33:D33"/>
    <mergeCell ref="E33"/>
    <mergeCell ref="F33"/>
    <mergeCell ref="G33"/>
    <mergeCell ref="H33"/>
    <mergeCell ref="C32:D32"/>
    <mergeCell ref="E32"/>
    <mergeCell ref="F32"/>
    <mergeCell ref="G32"/>
    <mergeCell ref="H32"/>
    <mergeCell ref="C35:D35"/>
    <mergeCell ref="E35"/>
    <mergeCell ref="F35"/>
    <mergeCell ref="G35"/>
    <mergeCell ref="H35"/>
    <mergeCell ref="C34:D34"/>
    <mergeCell ref="E34"/>
    <mergeCell ref="F34"/>
    <mergeCell ref="G34"/>
    <mergeCell ref="H34"/>
    <mergeCell ref="C37:D37"/>
    <mergeCell ref="E37"/>
    <mergeCell ref="F37"/>
    <mergeCell ref="G37"/>
    <mergeCell ref="H37"/>
    <mergeCell ref="C36:D36"/>
    <mergeCell ref="E36"/>
    <mergeCell ref="F36"/>
    <mergeCell ref="G36"/>
    <mergeCell ref="H36"/>
    <mergeCell ref="C39:D39"/>
    <mergeCell ref="E39"/>
    <mergeCell ref="F39"/>
    <mergeCell ref="G39"/>
    <mergeCell ref="H39"/>
    <mergeCell ref="C38:D38"/>
    <mergeCell ref="E38"/>
    <mergeCell ref="F38"/>
    <mergeCell ref="G38"/>
    <mergeCell ref="H38"/>
    <mergeCell ref="C41:D41"/>
    <mergeCell ref="E41"/>
    <mergeCell ref="F41"/>
    <mergeCell ref="G41"/>
    <mergeCell ref="H41"/>
    <mergeCell ref="C40:D40"/>
    <mergeCell ref="E40"/>
    <mergeCell ref="F40"/>
    <mergeCell ref="G40"/>
    <mergeCell ref="H40"/>
    <mergeCell ref="C43:D43"/>
    <mergeCell ref="E43"/>
    <mergeCell ref="F43"/>
    <mergeCell ref="G43"/>
    <mergeCell ref="H43"/>
    <mergeCell ref="C42:D42"/>
    <mergeCell ref="E42"/>
    <mergeCell ref="F42"/>
    <mergeCell ref="G42"/>
    <mergeCell ref="H42"/>
    <mergeCell ref="C45:D45"/>
    <mergeCell ref="E45"/>
    <mergeCell ref="F45"/>
    <mergeCell ref="G45"/>
    <mergeCell ref="H45"/>
    <mergeCell ref="C44:D44"/>
    <mergeCell ref="E44"/>
    <mergeCell ref="F44"/>
    <mergeCell ref="G44"/>
    <mergeCell ref="H44"/>
    <mergeCell ref="C47:D47"/>
    <mergeCell ref="E47"/>
    <mergeCell ref="F47"/>
    <mergeCell ref="G47"/>
    <mergeCell ref="H47"/>
    <mergeCell ref="C46:D46"/>
    <mergeCell ref="E46"/>
    <mergeCell ref="F46"/>
    <mergeCell ref="G46"/>
    <mergeCell ref="H46"/>
    <mergeCell ref="C49:D49"/>
    <mergeCell ref="E49"/>
    <mergeCell ref="F49"/>
    <mergeCell ref="G49"/>
    <mergeCell ref="H49"/>
    <mergeCell ref="C48:D48"/>
    <mergeCell ref="E48"/>
    <mergeCell ref="F48"/>
    <mergeCell ref="G48"/>
    <mergeCell ref="H48"/>
    <mergeCell ref="C51:D51"/>
    <mergeCell ref="E51"/>
    <mergeCell ref="F51"/>
    <mergeCell ref="G51"/>
    <mergeCell ref="H51"/>
    <mergeCell ref="C50:D50"/>
    <mergeCell ref="E50"/>
    <mergeCell ref="F50"/>
    <mergeCell ref="G50"/>
    <mergeCell ref="H50"/>
    <mergeCell ref="C53:D53"/>
    <mergeCell ref="E53"/>
    <mergeCell ref="F53"/>
    <mergeCell ref="G53"/>
    <mergeCell ref="H53"/>
    <mergeCell ref="C52:D52"/>
    <mergeCell ref="E52"/>
    <mergeCell ref="F52"/>
    <mergeCell ref="G52"/>
    <mergeCell ref="H52"/>
    <mergeCell ref="C55:D55"/>
    <mergeCell ref="E55"/>
    <mergeCell ref="F55"/>
    <mergeCell ref="G55"/>
    <mergeCell ref="H55"/>
    <mergeCell ref="C54:D54"/>
    <mergeCell ref="E54"/>
    <mergeCell ref="F54"/>
    <mergeCell ref="G54"/>
    <mergeCell ref="H54"/>
    <mergeCell ref="C57:D57"/>
    <mergeCell ref="E57"/>
    <mergeCell ref="F57"/>
    <mergeCell ref="G57"/>
    <mergeCell ref="H57"/>
    <mergeCell ref="C56:D56"/>
    <mergeCell ref="E56"/>
    <mergeCell ref="F56"/>
    <mergeCell ref="G56"/>
    <mergeCell ref="H56"/>
    <mergeCell ref="C59:D59"/>
    <mergeCell ref="E59"/>
    <mergeCell ref="F59"/>
    <mergeCell ref="G59"/>
    <mergeCell ref="H59"/>
    <mergeCell ref="C58:D58"/>
    <mergeCell ref="E58"/>
    <mergeCell ref="F58"/>
    <mergeCell ref="G58"/>
    <mergeCell ref="H58"/>
    <mergeCell ref="C61:D61"/>
    <mergeCell ref="E61"/>
    <mergeCell ref="F61"/>
    <mergeCell ref="G61"/>
    <mergeCell ref="H61"/>
    <mergeCell ref="C60:D60"/>
    <mergeCell ref="E60"/>
    <mergeCell ref="F60"/>
    <mergeCell ref="G60"/>
    <mergeCell ref="H60"/>
    <mergeCell ref="C63:D63"/>
    <mergeCell ref="E63"/>
    <mergeCell ref="F63"/>
    <mergeCell ref="G63"/>
    <mergeCell ref="H63"/>
    <mergeCell ref="C62:D62"/>
    <mergeCell ref="E62"/>
    <mergeCell ref="F62"/>
    <mergeCell ref="G62"/>
    <mergeCell ref="H62"/>
    <mergeCell ref="C65:D65"/>
    <mergeCell ref="E65"/>
    <mergeCell ref="F65"/>
    <mergeCell ref="G65"/>
    <mergeCell ref="H65"/>
    <mergeCell ref="C64:D64"/>
    <mergeCell ref="E64"/>
    <mergeCell ref="F64"/>
    <mergeCell ref="G64"/>
    <mergeCell ref="H64"/>
    <mergeCell ref="C67:D67"/>
    <mergeCell ref="E67"/>
    <mergeCell ref="F67"/>
    <mergeCell ref="G67"/>
    <mergeCell ref="H67"/>
    <mergeCell ref="C66:D66"/>
    <mergeCell ref="E66"/>
    <mergeCell ref="F66"/>
    <mergeCell ref="G66"/>
    <mergeCell ref="H66"/>
    <mergeCell ref="C69:D69"/>
    <mergeCell ref="E69"/>
    <mergeCell ref="F69"/>
    <mergeCell ref="G69"/>
    <mergeCell ref="H69"/>
    <mergeCell ref="C68:D68"/>
    <mergeCell ref="E68"/>
    <mergeCell ref="F68"/>
    <mergeCell ref="G68"/>
    <mergeCell ref="H68"/>
    <mergeCell ref="C71:D71"/>
    <mergeCell ref="E71"/>
    <mergeCell ref="F71"/>
    <mergeCell ref="G71"/>
    <mergeCell ref="H71"/>
    <mergeCell ref="C70:D70"/>
    <mergeCell ref="E70"/>
    <mergeCell ref="F70"/>
    <mergeCell ref="G70"/>
    <mergeCell ref="H70"/>
    <mergeCell ref="C73:D73"/>
    <mergeCell ref="E73"/>
    <mergeCell ref="F73"/>
    <mergeCell ref="G73"/>
    <mergeCell ref="H73"/>
    <mergeCell ref="C72:D72"/>
    <mergeCell ref="E72"/>
    <mergeCell ref="F72"/>
    <mergeCell ref="G72"/>
    <mergeCell ref="H72"/>
    <mergeCell ref="C75:D75"/>
    <mergeCell ref="E75"/>
    <mergeCell ref="F75"/>
    <mergeCell ref="G75"/>
    <mergeCell ref="H75"/>
    <mergeCell ref="C74:D74"/>
    <mergeCell ref="E74"/>
    <mergeCell ref="F74"/>
    <mergeCell ref="G74"/>
    <mergeCell ref="H74"/>
    <mergeCell ref="C77:D77"/>
    <mergeCell ref="E77"/>
    <mergeCell ref="F77"/>
    <mergeCell ref="G77"/>
    <mergeCell ref="H77"/>
    <mergeCell ref="C76:D76"/>
    <mergeCell ref="E76"/>
    <mergeCell ref="F76"/>
    <mergeCell ref="G76"/>
    <mergeCell ref="H76"/>
    <mergeCell ref="C79:D79"/>
    <mergeCell ref="E79"/>
    <mergeCell ref="F79"/>
    <mergeCell ref="G79"/>
    <mergeCell ref="H79"/>
    <mergeCell ref="C78:D78"/>
    <mergeCell ref="E78"/>
    <mergeCell ref="F78"/>
    <mergeCell ref="G78"/>
    <mergeCell ref="H78"/>
    <mergeCell ref="C81:D81"/>
    <mergeCell ref="E81"/>
    <mergeCell ref="F81"/>
    <mergeCell ref="G81"/>
    <mergeCell ref="H81"/>
    <mergeCell ref="C80:D80"/>
    <mergeCell ref="E80"/>
    <mergeCell ref="F80"/>
    <mergeCell ref="G80"/>
    <mergeCell ref="H80"/>
    <mergeCell ref="C83:D83"/>
    <mergeCell ref="E83"/>
    <mergeCell ref="F83"/>
    <mergeCell ref="G83"/>
    <mergeCell ref="H83"/>
    <mergeCell ref="C82:D82"/>
    <mergeCell ref="E82"/>
    <mergeCell ref="F82"/>
    <mergeCell ref="G82"/>
    <mergeCell ref="H82"/>
    <mergeCell ref="C85:D85"/>
    <mergeCell ref="E85"/>
    <mergeCell ref="F85"/>
    <mergeCell ref="G85"/>
    <mergeCell ref="H85"/>
    <mergeCell ref="C84:D84"/>
    <mergeCell ref="E84"/>
    <mergeCell ref="F84"/>
    <mergeCell ref="G84"/>
    <mergeCell ref="H84"/>
    <mergeCell ref="C87:D87"/>
    <mergeCell ref="E87"/>
    <mergeCell ref="F87"/>
    <mergeCell ref="G87"/>
    <mergeCell ref="H87"/>
    <mergeCell ref="C86:D86"/>
    <mergeCell ref="E86"/>
    <mergeCell ref="F86"/>
    <mergeCell ref="G86"/>
    <mergeCell ref="H86"/>
    <mergeCell ref="C89:D89"/>
    <mergeCell ref="E89"/>
    <mergeCell ref="F89"/>
    <mergeCell ref="G89"/>
    <mergeCell ref="H89"/>
    <mergeCell ref="C88:D88"/>
    <mergeCell ref="E88"/>
    <mergeCell ref="F88"/>
    <mergeCell ref="G88"/>
    <mergeCell ref="H88"/>
    <mergeCell ref="C91:D91"/>
    <mergeCell ref="E91"/>
    <mergeCell ref="F91"/>
    <mergeCell ref="G91"/>
    <mergeCell ref="H91"/>
    <mergeCell ref="C90:D90"/>
    <mergeCell ref="E90"/>
    <mergeCell ref="F90"/>
    <mergeCell ref="G90"/>
    <mergeCell ref="H90"/>
    <mergeCell ref="C93:D93"/>
    <mergeCell ref="E93"/>
    <mergeCell ref="F93"/>
    <mergeCell ref="G93"/>
    <mergeCell ref="H93"/>
    <mergeCell ref="C92:D92"/>
    <mergeCell ref="E92"/>
    <mergeCell ref="F92"/>
    <mergeCell ref="G92"/>
    <mergeCell ref="H92"/>
    <mergeCell ref="C95:D95"/>
    <mergeCell ref="E95"/>
    <mergeCell ref="F95"/>
    <mergeCell ref="G95"/>
    <mergeCell ref="H95"/>
    <mergeCell ref="C94:D94"/>
    <mergeCell ref="E94"/>
    <mergeCell ref="F94"/>
    <mergeCell ref="G94"/>
    <mergeCell ref="H94"/>
    <mergeCell ref="C97:D97"/>
    <mergeCell ref="E97"/>
    <mergeCell ref="F97"/>
    <mergeCell ref="G97"/>
    <mergeCell ref="H97"/>
    <mergeCell ref="C96:D96"/>
    <mergeCell ref="E96"/>
    <mergeCell ref="F96"/>
    <mergeCell ref="G96"/>
    <mergeCell ref="H96"/>
    <mergeCell ref="C99:D99"/>
    <mergeCell ref="E99"/>
    <mergeCell ref="F99"/>
    <mergeCell ref="G99"/>
    <mergeCell ref="H99"/>
    <mergeCell ref="C98:D98"/>
    <mergeCell ref="E98"/>
    <mergeCell ref="F98"/>
    <mergeCell ref="G98"/>
    <mergeCell ref="H98"/>
    <mergeCell ref="C101:D101"/>
    <mergeCell ref="E101"/>
    <mergeCell ref="F101"/>
    <mergeCell ref="G101"/>
    <mergeCell ref="H101"/>
    <mergeCell ref="C100:D100"/>
    <mergeCell ref="E100"/>
    <mergeCell ref="F100"/>
    <mergeCell ref="G100"/>
    <mergeCell ref="H100"/>
    <mergeCell ref="C103:D103"/>
    <mergeCell ref="E103"/>
    <mergeCell ref="F103"/>
    <mergeCell ref="G103"/>
    <mergeCell ref="H103"/>
    <mergeCell ref="C102:D102"/>
    <mergeCell ref="E102"/>
    <mergeCell ref="F102"/>
    <mergeCell ref="G102"/>
    <mergeCell ref="H102"/>
    <mergeCell ref="C105:D105"/>
    <mergeCell ref="E105"/>
    <mergeCell ref="F105"/>
    <mergeCell ref="G105"/>
    <mergeCell ref="H105"/>
    <mergeCell ref="C104:D104"/>
    <mergeCell ref="E104"/>
    <mergeCell ref="F104"/>
    <mergeCell ref="G104"/>
    <mergeCell ref="H104"/>
    <mergeCell ref="C107:D107"/>
    <mergeCell ref="E107"/>
    <mergeCell ref="F107"/>
    <mergeCell ref="G107"/>
    <mergeCell ref="H107"/>
    <mergeCell ref="C106:D106"/>
    <mergeCell ref="E106"/>
    <mergeCell ref="F106"/>
    <mergeCell ref="G106"/>
    <mergeCell ref="H106"/>
    <mergeCell ref="C109:D109"/>
    <mergeCell ref="E109"/>
    <mergeCell ref="F109"/>
    <mergeCell ref="G109"/>
    <mergeCell ref="H109"/>
    <mergeCell ref="C108:D108"/>
    <mergeCell ref="E108"/>
    <mergeCell ref="F108"/>
    <mergeCell ref="G108"/>
    <mergeCell ref="H108"/>
    <mergeCell ref="C111:D111"/>
    <mergeCell ref="E111"/>
    <mergeCell ref="F111"/>
    <mergeCell ref="G111"/>
    <mergeCell ref="H111"/>
    <mergeCell ref="C110:D110"/>
    <mergeCell ref="E110"/>
    <mergeCell ref="F110"/>
    <mergeCell ref="G110"/>
    <mergeCell ref="H110"/>
    <mergeCell ref="C113:D113"/>
    <mergeCell ref="E113"/>
    <mergeCell ref="F113"/>
    <mergeCell ref="G113"/>
    <mergeCell ref="H113"/>
    <mergeCell ref="C112:D112"/>
    <mergeCell ref="E112"/>
    <mergeCell ref="F112"/>
    <mergeCell ref="G112"/>
    <mergeCell ref="H112"/>
    <mergeCell ref="C115:D115"/>
    <mergeCell ref="E115"/>
    <mergeCell ref="F115"/>
    <mergeCell ref="G115"/>
    <mergeCell ref="H115"/>
    <mergeCell ref="C114:D114"/>
    <mergeCell ref="E114"/>
    <mergeCell ref="F114"/>
    <mergeCell ref="G114"/>
    <mergeCell ref="H114"/>
  </mergeCells>
  <dataValidations count="30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E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E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E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E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E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E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E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E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E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E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E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E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E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E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E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E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E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E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E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E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E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E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E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3"/>
  <sheetViews>
    <sheetView showGridLines="0" workbookViewId="0">
      <pane xSplit="4" ySplit="15" topLeftCell="K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22" width="30" style="1" customWidth="1"/>
    <col min="23" max="23" width="1" style="1" customWidth="1"/>
    <col min="24" max="24" width="9.140625" style="1" customWidth="1"/>
    <col min="25" max="16384" width="9.140625" style="1"/>
  </cols>
  <sheetData>
    <row r="2" spans="2:23" ht="5.0999999999999996" customHeight="1">
      <c r="B2" s="9" t="s">
        <v>559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"/>
    </row>
    <row r="8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>
      <c r="B9" s="2"/>
      <c r="C9" s="46" t="s">
        <v>560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"/>
    </row>
    <row r="10" spans="2:23">
      <c r="B10" s="2"/>
      <c r="C10" s="46" t="s">
        <v>561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"/>
    </row>
    <row r="11" spans="2:23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2"/>
    </row>
    <row r="12" spans="2:2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2"/>
    </row>
    <row r="14" spans="2:23">
      <c r="B14" s="2"/>
      <c r="C14" s="40" t="s">
        <v>236</v>
      </c>
      <c r="D14" s="38"/>
      <c r="E14" s="40" t="str">
        <f>"Dana Perusahaan"</f>
        <v>Dana Perusahaan</v>
      </c>
      <c r="F14" s="54"/>
      <c r="G14" s="54"/>
      <c r="H14" s="54"/>
      <c r="I14" s="54"/>
      <c r="J14" s="38"/>
      <c r="K14" s="40" t="str">
        <f>"Dana Tabarru'"</f>
        <v>Dana Tabarru'</v>
      </c>
      <c r="L14" s="38"/>
      <c r="M14" s="40" t="str">
        <f>"Dana Tabarru' "</f>
        <v xml:space="preserve">Dana Tabarru' </v>
      </c>
      <c r="N14" s="38"/>
      <c r="O14" s="40" t="str">
        <f>"Dana Tabarru'"</f>
        <v>Dana Tabarru'</v>
      </c>
      <c r="P14" s="38"/>
      <c r="Q14" s="40" t="str">
        <f>"PAYDI (digaransi)"</f>
        <v>PAYDI (digaransi)</v>
      </c>
      <c r="R14" s="54"/>
      <c r="S14" s="54"/>
      <c r="T14" s="54"/>
      <c r="U14" s="54"/>
      <c r="V14" s="38"/>
      <c r="W14" s="2"/>
    </row>
    <row r="15" spans="2:23">
      <c r="B15" s="2"/>
      <c r="C15" s="41"/>
      <c r="D15" s="42"/>
      <c r="E15" s="43" t="str">
        <f>"Sampai dengan 1  tahun"</f>
        <v>Sampai dengan 1  tahun</v>
      </c>
      <c r="F15" s="43" t="str">
        <f>"Lebih dari 1 tahun sampai dengan 3 tahun "</f>
        <v xml:space="preserve">Lebih dari 1 tahun sampai dengan 3 tahun </v>
      </c>
      <c r="G15" s="43" t="str">
        <f>"Lebih dari 3 tahun sampai dengan 5 tahun"</f>
        <v>Lebih dari 3 tahun sampai dengan 5 tahun</v>
      </c>
      <c r="H15" s="43" t="str">
        <f>"Lebih dari 5 tahun sampai dengan 10 tahun "</f>
        <v xml:space="preserve">Lebih dari 5 tahun sampai dengan 10 tahun </v>
      </c>
      <c r="I15" s="43" t="str">
        <f>"Lebih dari 10 tahun"</f>
        <v>Lebih dari 10 tahun</v>
      </c>
      <c r="J15" s="43" t="str">
        <f>"Jumlah"</f>
        <v>Jumlah</v>
      </c>
      <c r="K15" s="43" t="str">
        <f>"Sampai dengan 1  tahun"</f>
        <v>Sampai dengan 1  tahun</v>
      </c>
      <c r="L15" s="43" t="str">
        <f>"Lebih dari 1 tahun sampai dengan 3 tahun"</f>
        <v>Lebih dari 1 tahun sampai dengan 3 tahun</v>
      </c>
      <c r="M15" s="43" t="str">
        <f>"Lebih dari 3 tahun sampai dengan 5 tahun"</f>
        <v>Lebih dari 3 tahun sampai dengan 5 tahun</v>
      </c>
      <c r="N15" s="43" t="str">
        <f>"Lebih dari 5 tahun sampai dengan 10 tahun"</f>
        <v>Lebih dari 5 tahun sampai dengan 10 tahun</v>
      </c>
      <c r="O15" s="43" t="str">
        <f>"Lebih dari 10 tahun"</f>
        <v>Lebih dari 10 tahun</v>
      </c>
      <c r="P15" s="43" t="str">
        <f>"Jumlah"</f>
        <v>Jumlah</v>
      </c>
      <c r="Q15" s="43" t="str">
        <f>"Sampai dengan 1  tahun"</f>
        <v>Sampai dengan 1  tahun</v>
      </c>
      <c r="R15" s="43" t="str">
        <f>"Lebih dari 1 tahun sampai dengan 3 tahun"</f>
        <v>Lebih dari 1 tahun sampai dengan 3 tahun</v>
      </c>
      <c r="S15" s="43" t="str">
        <f>"Lebih dari 3 tahun sampai dengan 5 tahun "</f>
        <v xml:space="preserve">Lebih dari 3 tahun sampai dengan 5 tahun </v>
      </c>
      <c r="T15" s="43" t="str">
        <f>"Lebih dari 5 tahun sampai dengan 10 tahun"</f>
        <v>Lebih dari 5 tahun sampai dengan 10 tahun</v>
      </c>
      <c r="U15" s="43" t="str">
        <f>"Lebih dari 10 tahun"</f>
        <v>Lebih dari 10 tahun</v>
      </c>
      <c r="V15" s="43" t="str">
        <f>"Jumlah"</f>
        <v>Jumlah</v>
      </c>
      <c r="W15" s="2"/>
    </row>
    <row r="16" spans="2:23">
      <c r="B16" s="2"/>
      <c r="C16" s="37" t="s">
        <v>562</v>
      </c>
      <c r="D16" s="38"/>
      <c r="E16" s="18">
        <f t="shared" ref="E16:V16" si="0">E17+E39</f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8">
        <f t="shared" si="0"/>
        <v>0</v>
      </c>
      <c r="R16" s="18">
        <f t="shared" si="0"/>
        <v>0</v>
      </c>
      <c r="S16" s="18">
        <f t="shared" si="0"/>
        <v>0</v>
      </c>
      <c r="T16" s="18">
        <f t="shared" si="0"/>
        <v>0</v>
      </c>
      <c r="U16" s="18">
        <f t="shared" si="0"/>
        <v>0</v>
      </c>
      <c r="V16" s="18">
        <f t="shared" si="0"/>
        <v>0</v>
      </c>
      <c r="W16" s="2"/>
    </row>
    <row r="17" spans="2:23">
      <c r="B17" s="2"/>
      <c r="C17" s="35" t="s">
        <v>248</v>
      </c>
      <c r="D17" s="36"/>
      <c r="E17" s="18">
        <f t="shared" ref="E17:V17" si="1">SUM(E18:E38)</f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2"/>
    </row>
    <row r="18" spans="2:23">
      <c r="B18" s="2"/>
      <c r="C18" s="32" t="s">
        <v>563</v>
      </c>
      <c r="D18" s="33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18">
        <f t="shared" ref="J18:J31" si="2">SUM(E18:I18)</f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18">
        <f t="shared" ref="P18:P31" si="3">SUM(K18:O18)</f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18">
        <f t="shared" ref="V18:V31" si="4">SUM(Q18:U18)</f>
        <v>0</v>
      </c>
      <c r="W18" s="2"/>
    </row>
    <row r="19" spans="2:23">
      <c r="B19" s="2"/>
      <c r="C19" s="32" t="s">
        <v>250</v>
      </c>
      <c r="D19" s="33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18">
        <f t="shared" si="2"/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18">
        <f t="shared" si="3"/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18">
        <f t="shared" si="4"/>
        <v>0</v>
      </c>
      <c r="W19" s="2"/>
    </row>
    <row r="20" spans="2:23">
      <c r="B20" s="2"/>
      <c r="C20" s="32" t="s">
        <v>251</v>
      </c>
      <c r="D20" s="33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18">
        <f t="shared" si="2"/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18">
        <f t="shared" si="3"/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18">
        <f t="shared" si="4"/>
        <v>0</v>
      </c>
      <c r="W20" s="2"/>
    </row>
    <row r="21" spans="2:23">
      <c r="B21" s="2"/>
      <c r="C21" s="32" t="s">
        <v>524</v>
      </c>
      <c r="D21" s="33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18">
        <f t="shared" si="2"/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18">
        <f t="shared" si="3"/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18">
        <f t="shared" si="4"/>
        <v>0</v>
      </c>
      <c r="W21" s="2"/>
    </row>
    <row r="22" spans="2:23">
      <c r="B22" s="2"/>
      <c r="C22" s="32" t="s">
        <v>253</v>
      </c>
      <c r="D22" s="33"/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18">
        <f t="shared" si="2"/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18">
        <f t="shared" si="3"/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18">
        <f t="shared" si="4"/>
        <v>0</v>
      </c>
      <c r="W22" s="2"/>
    </row>
    <row r="23" spans="2:23">
      <c r="B23" s="2"/>
      <c r="C23" s="32" t="s">
        <v>254</v>
      </c>
      <c r="D23" s="33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18">
        <f t="shared" si="2"/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18">
        <f t="shared" si="3"/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18">
        <f t="shared" si="4"/>
        <v>0</v>
      </c>
      <c r="W23" s="2"/>
    </row>
    <row r="24" spans="2:23">
      <c r="B24" s="2"/>
      <c r="C24" s="32" t="s">
        <v>564</v>
      </c>
      <c r="D24" s="33"/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18">
        <f t="shared" si="2"/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18">
        <f t="shared" si="3"/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18">
        <f t="shared" si="4"/>
        <v>0</v>
      </c>
      <c r="W24" s="2"/>
    </row>
    <row r="25" spans="2:23">
      <c r="B25" s="2"/>
      <c r="C25" s="32" t="s">
        <v>565</v>
      </c>
      <c r="D25" s="33"/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18">
        <f t="shared" si="2"/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18">
        <f t="shared" si="3"/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18">
        <f t="shared" si="4"/>
        <v>0</v>
      </c>
      <c r="W25" s="2"/>
    </row>
    <row r="26" spans="2:23">
      <c r="B26" s="2"/>
      <c r="C26" s="32" t="s">
        <v>566</v>
      </c>
      <c r="D26" s="33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18">
        <f t="shared" si="2"/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18">
        <f t="shared" si="3"/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18">
        <f t="shared" si="4"/>
        <v>0</v>
      </c>
      <c r="W26" s="2"/>
    </row>
    <row r="27" spans="2:23">
      <c r="B27" s="2"/>
      <c r="C27" s="32" t="s">
        <v>258</v>
      </c>
      <c r="D27" s="33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18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18">
        <f t="shared" si="3"/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18">
        <f t="shared" si="4"/>
        <v>0</v>
      </c>
      <c r="W27" s="2"/>
    </row>
    <row r="28" spans="2:23">
      <c r="B28" s="2"/>
      <c r="C28" s="32" t="s">
        <v>259</v>
      </c>
      <c r="D28" s="33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18">
        <f t="shared" si="2"/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18">
        <f t="shared" si="3"/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18">
        <f t="shared" si="4"/>
        <v>0</v>
      </c>
      <c r="W28" s="2"/>
    </row>
    <row r="29" spans="2:23">
      <c r="B29" s="2"/>
      <c r="C29" s="32" t="s">
        <v>418</v>
      </c>
      <c r="D29" s="33"/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18">
        <f t="shared" si="2"/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18">
        <f t="shared" si="3"/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18">
        <f t="shared" si="4"/>
        <v>0</v>
      </c>
      <c r="W29" s="2"/>
    </row>
    <row r="30" spans="2:23">
      <c r="B30" s="2"/>
      <c r="C30" s="32" t="s">
        <v>261</v>
      </c>
      <c r="D30" s="33"/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18">
        <f t="shared" si="2"/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18">
        <f t="shared" si="3"/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18">
        <f t="shared" si="4"/>
        <v>0</v>
      </c>
      <c r="W30" s="2"/>
    </row>
    <row r="31" spans="2:23">
      <c r="B31" s="2"/>
      <c r="C31" s="32" t="s">
        <v>567</v>
      </c>
      <c r="D31" s="33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18">
        <f t="shared" si="2"/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18">
        <f t="shared" si="3"/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18">
        <f t="shared" si="4"/>
        <v>0</v>
      </c>
      <c r="W31" s="2"/>
    </row>
    <row r="32" spans="2:23">
      <c r="B32" s="2"/>
      <c r="C32" s="32" t="s">
        <v>568</v>
      </c>
      <c r="D32" s="33"/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18">
        <f>0</f>
        <v>0</v>
      </c>
      <c r="K32" s="18">
        <f>0</f>
        <v>0</v>
      </c>
      <c r="L32" s="18">
        <f>0</f>
        <v>0</v>
      </c>
      <c r="M32" s="18">
        <f>0</f>
        <v>0</v>
      </c>
      <c r="N32" s="18">
        <f>0</f>
        <v>0</v>
      </c>
      <c r="O32" s="18">
        <f>0</f>
        <v>0</v>
      </c>
      <c r="P32" s="18">
        <f>0</f>
        <v>0</v>
      </c>
      <c r="Q32" s="18">
        <f>0</f>
        <v>0</v>
      </c>
      <c r="R32" s="18">
        <f>0</f>
        <v>0</v>
      </c>
      <c r="S32" s="18">
        <f>0</f>
        <v>0</v>
      </c>
      <c r="T32" s="18">
        <f>0</f>
        <v>0</v>
      </c>
      <c r="U32" s="18">
        <f>0</f>
        <v>0</v>
      </c>
      <c r="V32" s="18">
        <f>0</f>
        <v>0</v>
      </c>
      <c r="W32" s="2"/>
    </row>
    <row r="33" spans="2:23">
      <c r="B33" s="2"/>
      <c r="C33" s="32" t="s">
        <v>264</v>
      </c>
      <c r="D33" s="33"/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18">
        <f>0</f>
        <v>0</v>
      </c>
      <c r="K33" s="18">
        <f>0</f>
        <v>0</v>
      </c>
      <c r="L33" s="18">
        <f>0</f>
        <v>0</v>
      </c>
      <c r="M33" s="18">
        <f>0</f>
        <v>0</v>
      </c>
      <c r="N33" s="18">
        <f>0</f>
        <v>0</v>
      </c>
      <c r="O33" s="18">
        <f>0</f>
        <v>0</v>
      </c>
      <c r="P33" s="18">
        <f>0</f>
        <v>0</v>
      </c>
      <c r="Q33" s="18">
        <f>0</f>
        <v>0</v>
      </c>
      <c r="R33" s="18">
        <f>0</f>
        <v>0</v>
      </c>
      <c r="S33" s="18">
        <f>0</f>
        <v>0</v>
      </c>
      <c r="T33" s="18">
        <f>0</f>
        <v>0</v>
      </c>
      <c r="U33" s="18">
        <f>0</f>
        <v>0</v>
      </c>
      <c r="V33" s="18">
        <f>0</f>
        <v>0</v>
      </c>
      <c r="W33" s="2"/>
    </row>
    <row r="34" spans="2:23">
      <c r="B34" s="2"/>
      <c r="C34" s="32" t="s">
        <v>569</v>
      </c>
      <c r="D34" s="33"/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18">
        <f>0</f>
        <v>0</v>
      </c>
      <c r="K34" s="18">
        <f>0</f>
        <v>0</v>
      </c>
      <c r="L34" s="18">
        <f>0</f>
        <v>0</v>
      </c>
      <c r="M34" s="18">
        <f>0</f>
        <v>0</v>
      </c>
      <c r="N34" s="18">
        <f>0</f>
        <v>0</v>
      </c>
      <c r="O34" s="18">
        <f>0</f>
        <v>0</v>
      </c>
      <c r="P34" s="18">
        <f>0</f>
        <v>0</v>
      </c>
      <c r="Q34" s="18">
        <f>0</f>
        <v>0</v>
      </c>
      <c r="R34" s="18">
        <f>0</f>
        <v>0</v>
      </c>
      <c r="S34" s="18">
        <f>0</f>
        <v>0</v>
      </c>
      <c r="T34" s="18">
        <f>0</f>
        <v>0</v>
      </c>
      <c r="U34" s="18">
        <f>0</f>
        <v>0</v>
      </c>
      <c r="V34" s="18">
        <f>0</f>
        <v>0</v>
      </c>
      <c r="W34" s="2"/>
    </row>
    <row r="35" spans="2:23">
      <c r="B35" s="2"/>
      <c r="C35" s="32" t="s">
        <v>570</v>
      </c>
      <c r="D35" s="33"/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18">
        <f>SUM(E35:I35)</f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18">
        <f>SUM(K35:O35)</f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18">
        <f>SUM(Q35:U35)</f>
        <v>0</v>
      </c>
      <c r="W35" s="2"/>
    </row>
    <row r="36" spans="2:23">
      <c r="B36" s="2"/>
      <c r="C36" s="32" t="s">
        <v>267</v>
      </c>
      <c r="D36" s="33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18">
        <f>SUM(E36:I36)</f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18">
        <f>SUM(K36:O36)</f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18">
        <f>SUM(Q36:U36)</f>
        <v>0</v>
      </c>
      <c r="W36" s="2"/>
    </row>
    <row r="37" spans="2:23">
      <c r="B37" s="2"/>
      <c r="C37" s="32" t="s">
        <v>268</v>
      </c>
      <c r="D37" s="33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18">
        <f>SUM(E37:I37)</f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18">
        <f>SUM(K37:O37)</f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18">
        <f>SUM(Q37:U37)</f>
        <v>0</v>
      </c>
      <c r="W37" s="2"/>
    </row>
    <row r="38" spans="2:23">
      <c r="B38" s="2"/>
      <c r="C38" s="32" t="s">
        <v>422</v>
      </c>
      <c r="D38" s="33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18">
        <f>SUM(E38:I38)</f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18">
        <f>SUM(K38:O38)</f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18">
        <f>SUM(Q38:U38)</f>
        <v>0</v>
      </c>
      <c r="W38" s="2"/>
    </row>
    <row r="39" spans="2:23">
      <c r="B39" s="2"/>
      <c r="C39" s="35" t="s">
        <v>539</v>
      </c>
      <c r="D39" s="36"/>
      <c r="E39" s="18">
        <f t="shared" ref="E39:V39" si="5">SUM(E40:E51)</f>
        <v>0</v>
      </c>
      <c r="F39" s="18">
        <f t="shared" si="5"/>
        <v>0</v>
      </c>
      <c r="G39" s="18">
        <f t="shared" si="5"/>
        <v>0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0</v>
      </c>
      <c r="M39" s="18">
        <f t="shared" si="5"/>
        <v>0</v>
      </c>
      <c r="N39" s="18">
        <f t="shared" si="5"/>
        <v>0</v>
      </c>
      <c r="O39" s="18">
        <f t="shared" si="5"/>
        <v>0</v>
      </c>
      <c r="P39" s="18">
        <f t="shared" si="5"/>
        <v>0</v>
      </c>
      <c r="Q39" s="18">
        <f t="shared" si="5"/>
        <v>0</v>
      </c>
      <c r="R39" s="18">
        <f t="shared" si="5"/>
        <v>0</v>
      </c>
      <c r="S39" s="18">
        <f t="shared" si="5"/>
        <v>0</v>
      </c>
      <c r="T39" s="18">
        <f t="shared" si="5"/>
        <v>0</v>
      </c>
      <c r="U39" s="18">
        <f t="shared" si="5"/>
        <v>0</v>
      </c>
      <c r="V39" s="18">
        <f t="shared" si="5"/>
        <v>0</v>
      </c>
      <c r="W39" s="2"/>
    </row>
    <row r="40" spans="2:23">
      <c r="B40" s="2"/>
      <c r="C40" s="32" t="s">
        <v>271</v>
      </c>
      <c r="D40" s="33"/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18">
        <f t="shared" ref="J40:J47" si="6">SUM(E40:I40)</f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18">
        <f t="shared" ref="P40:P47" si="7">SUM(K40:O40)</f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18">
        <f t="shared" ref="V40:V47" si="8">SUM(Q40:U40)</f>
        <v>0</v>
      </c>
      <c r="W40" s="2"/>
    </row>
    <row r="41" spans="2:23">
      <c r="B41" s="2"/>
      <c r="C41" s="32" t="s">
        <v>571</v>
      </c>
      <c r="D41" s="33"/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18">
        <f t="shared" si="6"/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18">
        <f t="shared" si="7"/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18">
        <f t="shared" si="8"/>
        <v>0</v>
      </c>
      <c r="W41" s="2"/>
    </row>
    <row r="42" spans="2:23">
      <c r="B42" s="2"/>
      <c r="C42" s="32" t="s">
        <v>572</v>
      </c>
      <c r="D42" s="33"/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18">
        <f t="shared" si="6"/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18">
        <f t="shared" si="7"/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18">
        <f t="shared" si="8"/>
        <v>0</v>
      </c>
      <c r="W42" s="2"/>
    </row>
    <row r="43" spans="2:23">
      <c r="B43" s="2"/>
      <c r="C43" s="32" t="s">
        <v>273</v>
      </c>
      <c r="D43" s="33"/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18">
        <f t="shared" si="6"/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18">
        <f t="shared" si="7"/>
        <v>0</v>
      </c>
      <c r="Q43" s="21">
        <f>0</f>
        <v>0</v>
      </c>
      <c r="R43" s="21">
        <f>0</f>
        <v>0</v>
      </c>
      <c r="S43" s="21">
        <f>0</f>
        <v>0</v>
      </c>
      <c r="T43" s="18">
        <f>0</f>
        <v>0</v>
      </c>
      <c r="U43" s="21">
        <f>0</f>
        <v>0</v>
      </c>
      <c r="V43" s="18">
        <f t="shared" si="8"/>
        <v>0</v>
      </c>
      <c r="W43" s="2"/>
    </row>
    <row r="44" spans="2:23">
      <c r="B44" s="2"/>
      <c r="C44" s="32" t="s">
        <v>543</v>
      </c>
      <c r="D44" s="33"/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18">
        <f t="shared" si="6"/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18">
        <f t="shared" si="7"/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18">
        <f t="shared" si="8"/>
        <v>0</v>
      </c>
      <c r="W44" s="2"/>
    </row>
    <row r="45" spans="2:23">
      <c r="B45" s="2"/>
      <c r="C45" s="32" t="s">
        <v>442</v>
      </c>
      <c r="D45" s="33"/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18">
        <f t="shared" si="6"/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18">
        <f t="shared" si="7"/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18">
        <f t="shared" si="8"/>
        <v>0</v>
      </c>
      <c r="W45" s="2"/>
    </row>
    <row r="46" spans="2:23">
      <c r="B46" s="2"/>
      <c r="C46" s="32" t="s">
        <v>427</v>
      </c>
      <c r="D46" s="33"/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18">
        <f t="shared" si="6"/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18">
        <f t="shared" si="7"/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18">
        <f t="shared" si="8"/>
        <v>0</v>
      </c>
      <c r="W46" s="2"/>
    </row>
    <row r="47" spans="2:23">
      <c r="B47" s="2"/>
      <c r="C47" s="32" t="s">
        <v>426</v>
      </c>
      <c r="D47" s="33"/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18">
        <f t="shared" si="6"/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18">
        <f t="shared" si="7"/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18">
        <f t="shared" si="8"/>
        <v>0</v>
      </c>
      <c r="W47" s="2"/>
    </row>
    <row r="48" spans="2:23">
      <c r="B48" s="2"/>
      <c r="C48" s="32" t="s">
        <v>429</v>
      </c>
      <c r="D48" s="33"/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18">
        <f>0</f>
        <v>0</v>
      </c>
      <c r="K48" s="18">
        <f>0</f>
        <v>0</v>
      </c>
      <c r="L48" s="18">
        <f>0</f>
        <v>0</v>
      </c>
      <c r="M48" s="18">
        <f>0</f>
        <v>0</v>
      </c>
      <c r="N48" s="18">
        <f>0</f>
        <v>0</v>
      </c>
      <c r="O48" s="18">
        <f>0</f>
        <v>0</v>
      </c>
      <c r="P48" s="18">
        <f>0</f>
        <v>0</v>
      </c>
      <c r="Q48" s="18">
        <f>0</f>
        <v>0</v>
      </c>
      <c r="R48" s="18">
        <f>0</f>
        <v>0</v>
      </c>
      <c r="S48" s="18">
        <f>0</f>
        <v>0</v>
      </c>
      <c r="T48" s="18">
        <f>0</f>
        <v>0</v>
      </c>
      <c r="U48" s="18">
        <f>0</f>
        <v>0</v>
      </c>
      <c r="V48" s="18">
        <f>0</f>
        <v>0</v>
      </c>
      <c r="W48" s="2"/>
    </row>
    <row r="49" spans="2:23">
      <c r="B49" s="2"/>
      <c r="C49" s="32" t="s">
        <v>573</v>
      </c>
      <c r="D49" s="33"/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18">
        <f>0</f>
        <v>0</v>
      </c>
      <c r="K49" s="18">
        <f>0</f>
        <v>0</v>
      </c>
      <c r="L49" s="18">
        <f>0</f>
        <v>0</v>
      </c>
      <c r="M49" s="18">
        <f>0</f>
        <v>0</v>
      </c>
      <c r="N49" s="18">
        <f>0</f>
        <v>0</v>
      </c>
      <c r="O49" s="18">
        <f>0</f>
        <v>0</v>
      </c>
      <c r="P49" s="18">
        <f>0</f>
        <v>0</v>
      </c>
      <c r="Q49" s="18">
        <f>0</f>
        <v>0</v>
      </c>
      <c r="R49" s="18">
        <f>0</f>
        <v>0</v>
      </c>
      <c r="S49" s="18">
        <f>0</f>
        <v>0</v>
      </c>
      <c r="T49" s="18">
        <f>0</f>
        <v>0</v>
      </c>
      <c r="U49" s="18">
        <f>0</f>
        <v>0</v>
      </c>
      <c r="V49" s="18">
        <f>0</f>
        <v>0</v>
      </c>
      <c r="W49" s="2"/>
    </row>
    <row r="50" spans="2:23">
      <c r="B50" s="2"/>
      <c r="C50" s="32" t="s">
        <v>574</v>
      </c>
      <c r="D50" s="33"/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18">
        <f>SUM(E50:I50)</f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18">
        <f>SUM(K50:O50)</f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18">
        <f>SUM(Q50:U50)</f>
        <v>0</v>
      </c>
      <c r="W50" s="2"/>
    </row>
    <row r="51" spans="2:23">
      <c r="B51" s="2"/>
      <c r="C51" s="32" t="s">
        <v>276</v>
      </c>
      <c r="D51" s="33"/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18">
        <f>SUM(E51:I51)</f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18">
        <f>SUM(K51:O51)</f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18">
        <f>SUM(Q51:U51)</f>
        <v>0</v>
      </c>
      <c r="W51" s="2"/>
    </row>
    <row r="52" spans="2:23">
      <c r="B52" s="2"/>
      <c r="C52" s="37" t="s">
        <v>575</v>
      </c>
      <c r="D52" s="38"/>
      <c r="E52" s="20">
        <f>IFERROR(E53, 0)</f>
        <v>0</v>
      </c>
      <c r="F52" s="20">
        <f>IFERROR(F53, 0)</f>
        <v>0</v>
      </c>
      <c r="G52" s="20">
        <f>IFERROR(G53, 0)</f>
        <v>0</v>
      </c>
      <c r="H52" s="20">
        <f>IFERROR(H53, 0)</f>
        <v>0</v>
      </c>
      <c r="I52" s="20">
        <f>IFERROR(I53, 0)</f>
        <v>0</v>
      </c>
      <c r="J52" s="18">
        <f>SUM(E52:I52)</f>
        <v>0</v>
      </c>
      <c r="K52" s="20">
        <f>IFERROR(K53, 0)</f>
        <v>0</v>
      </c>
      <c r="L52" s="20">
        <f>IFERROR(L53, 0)</f>
        <v>0</v>
      </c>
      <c r="M52" s="20">
        <f>IFERROR(M53, 0)</f>
        <v>0</v>
      </c>
      <c r="N52" s="20">
        <f>IFERROR(N53, 0)</f>
        <v>0</v>
      </c>
      <c r="O52" s="20">
        <f>IFERROR(O53, 0)</f>
        <v>0</v>
      </c>
      <c r="P52" s="18">
        <f>SUM(K52:O52)</f>
        <v>0</v>
      </c>
      <c r="Q52" s="20">
        <f>IFERROR(Q53, 0)</f>
        <v>0</v>
      </c>
      <c r="R52" s="20">
        <f>IFERROR(R53, 0)</f>
        <v>0</v>
      </c>
      <c r="S52" s="20">
        <f>IFERROR(S53, 0)</f>
        <v>0</v>
      </c>
      <c r="T52" s="20">
        <f>IFERROR(T53, 0)</f>
        <v>0</v>
      </c>
      <c r="U52" s="20">
        <f>IFERROR(U53, 0)</f>
        <v>0</v>
      </c>
      <c r="V52" s="18">
        <f>SUM(Q52:U52)</f>
        <v>0</v>
      </c>
      <c r="W52" s="2"/>
    </row>
    <row r="53" spans="2:23">
      <c r="B53" s="2"/>
      <c r="C53" s="35" t="s">
        <v>278</v>
      </c>
      <c r="D53" s="36"/>
      <c r="E53" s="18">
        <f t="shared" ref="E53:V53" si="9">E69+E54+E62</f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  <c r="I53" s="18">
        <f t="shared" si="9"/>
        <v>0</v>
      </c>
      <c r="J53" s="18">
        <f t="shared" si="9"/>
        <v>0</v>
      </c>
      <c r="K53" s="18">
        <f t="shared" si="9"/>
        <v>0</v>
      </c>
      <c r="L53" s="18">
        <f t="shared" si="9"/>
        <v>0</v>
      </c>
      <c r="M53" s="18">
        <f t="shared" si="9"/>
        <v>0</v>
      </c>
      <c r="N53" s="18">
        <f t="shared" si="9"/>
        <v>0</v>
      </c>
      <c r="O53" s="18">
        <f t="shared" si="9"/>
        <v>0</v>
      </c>
      <c r="P53" s="18">
        <f t="shared" si="9"/>
        <v>0</v>
      </c>
      <c r="Q53" s="18">
        <f t="shared" si="9"/>
        <v>0</v>
      </c>
      <c r="R53" s="18">
        <f t="shared" si="9"/>
        <v>0</v>
      </c>
      <c r="S53" s="18">
        <f t="shared" si="9"/>
        <v>0</v>
      </c>
      <c r="T53" s="18">
        <f t="shared" si="9"/>
        <v>0</v>
      </c>
      <c r="U53" s="18">
        <f t="shared" si="9"/>
        <v>0</v>
      </c>
      <c r="V53" s="18">
        <f t="shared" si="9"/>
        <v>0</v>
      </c>
      <c r="W53" s="2"/>
    </row>
    <row r="54" spans="2:23">
      <c r="B54" s="2"/>
      <c r="C54" s="32" t="s">
        <v>445</v>
      </c>
      <c r="D54" s="33"/>
      <c r="E54" s="18">
        <f t="shared" ref="E54:V54" si="10">SUM(E55:E61)</f>
        <v>0</v>
      </c>
      <c r="F54" s="18">
        <f t="shared" si="10"/>
        <v>0</v>
      </c>
      <c r="G54" s="18">
        <f t="shared" si="10"/>
        <v>0</v>
      </c>
      <c r="H54" s="18">
        <f t="shared" si="10"/>
        <v>0</v>
      </c>
      <c r="I54" s="18">
        <f t="shared" si="10"/>
        <v>0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8">
        <f t="shared" si="10"/>
        <v>0</v>
      </c>
      <c r="P54" s="18">
        <f t="shared" si="10"/>
        <v>0</v>
      </c>
      <c r="Q54" s="18">
        <f t="shared" si="10"/>
        <v>0</v>
      </c>
      <c r="R54" s="18">
        <f t="shared" si="10"/>
        <v>0</v>
      </c>
      <c r="S54" s="18">
        <f t="shared" si="10"/>
        <v>0</v>
      </c>
      <c r="T54" s="18">
        <f t="shared" si="10"/>
        <v>0</v>
      </c>
      <c r="U54" s="18">
        <f t="shared" si="10"/>
        <v>0</v>
      </c>
      <c r="V54" s="18">
        <f t="shared" si="10"/>
        <v>0</v>
      </c>
      <c r="W54" s="2"/>
    </row>
    <row r="55" spans="2:23">
      <c r="B55" s="2"/>
      <c r="C55" s="55" t="s">
        <v>576</v>
      </c>
      <c r="D55" s="56"/>
      <c r="E55" s="21">
        <f>0</f>
        <v>0</v>
      </c>
      <c r="F55" s="21">
        <f>0</f>
        <v>0</v>
      </c>
      <c r="G55" s="21">
        <f>0</f>
        <v>0</v>
      </c>
      <c r="H55" s="18">
        <f>0</f>
        <v>0</v>
      </c>
      <c r="I55" s="21">
        <f>0</f>
        <v>0</v>
      </c>
      <c r="J55" s="18">
        <f t="shared" ref="J55:J61" si="11">SUM(E55:I55)</f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18">
        <f t="shared" ref="P55:P61" si="12">SUM(K55:O55)</f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18">
        <f t="shared" ref="V55:V61" si="13">SUM(Q55:U55)</f>
        <v>0</v>
      </c>
      <c r="W55" s="2"/>
    </row>
    <row r="56" spans="2:23">
      <c r="B56" s="2"/>
      <c r="C56" s="55" t="s">
        <v>577</v>
      </c>
      <c r="D56" s="56"/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18">
        <f t="shared" si="11"/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18">
        <f t="shared" si="12"/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18">
        <f t="shared" si="13"/>
        <v>0</v>
      </c>
      <c r="W56" s="2"/>
    </row>
    <row r="57" spans="2:23">
      <c r="B57" s="2"/>
      <c r="C57" s="55" t="s">
        <v>578</v>
      </c>
      <c r="D57" s="56"/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18">
        <f t="shared" si="11"/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18">
        <f t="shared" si="12"/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18">
        <f t="shared" si="13"/>
        <v>0</v>
      </c>
      <c r="W57" s="2"/>
    </row>
    <row r="58" spans="2:23">
      <c r="B58" s="2"/>
      <c r="C58" s="55" t="s">
        <v>579</v>
      </c>
      <c r="D58" s="56"/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18">
        <f t="shared" si="11"/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18">
        <f t="shared" si="12"/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18">
        <f t="shared" si="13"/>
        <v>0</v>
      </c>
      <c r="W58" s="2"/>
    </row>
    <row r="59" spans="2:23">
      <c r="B59" s="2"/>
      <c r="C59" s="55" t="s">
        <v>580</v>
      </c>
      <c r="D59" s="56"/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18">
        <f t="shared" si="11"/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18">
        <f t="shared" si="12"/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18">
        <f t="shared" si="13"/>
        <v>0</v>
      </c>
      <c r="W59" s="2"/>
    </row>
    <row r="60" spans="2:23">
      <c r="B60" s="2"/>
      <c r="C60" s="55" t="s">
        <v>280</v>
      </c>
      <c r="D60" s="56"/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18">
        <f t="shared" si="11"/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18">
        <f t="shared" si="12"/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18">
        <f t="shared" si="13"/>
        <v>0</v>
      </c>
      <c r="W60" s="2"/>
    </row>
    <row r="61" spans="2:23">
      <c r="B61" s="2"/>
      <c r="C61" s="55" t="s">
        <v>581</v>
      </c>
      <c r="D61" s="56"/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18">
        <f t="shared" si="11"/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18">
        <f t="shared" si="12"/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18">
        <f t="shared" si="13"/>
        <v>0</v>
      </c>
      <c r="W61" s="2"/>
    </row>
    <row r="62" spans="2:23">
      <c r="B62" s="2"/>
      <c r="C62" s="32" t="s">
        <v>282</v>
      </c>
      <c r="D62" s="33"/>
      <c r="E62" s="18">
        <f t="shared" ref="E62:V62" si="14">SUM(E63:E68)</f>
        <v>0</v>
      </c>
      <c r="F62" s="18">
        <f t="shared" si="14"/>
        <v>0</v>
      </c>
      <c r="G62" s="18">
        <f t="shared" si="14"/>
        <v>0</v>
      </c>
      <c r="H62" s="18">
        <f t="shared" si="14"/>
        <v>0</v>
      </c>
      <c r="I62" s="18">
        <f t="shared" si="14"/>
        <v>0</v>
      </c>
      <c r="J62" s="18">
        <f t="shared" si="14"/>
        <v>0</v>
      </c>
      <c r="K62" s="18">
        <f t="shared" si="14"/>
        <v>0</v>
      </c>
      <c r="L62" s="18">
        <f t="shared" si="14"/>
        <v>0</v>
      </c>
      <c r="M62" s="18">
        <f t="shared" si="14"/>
        <v>0</v>
      </c>
      <c r="N62" s="18">
        <f t="shared" si="14"/>
        <v>0</v>
      </c>
      <c r="O62" s="18">
        <f t="shared" si="14"/>
        <v>0</v>
      </c>
      <c r="P62" s="18">
        <f t="shared" si="14"/>
        <v>0</v>
      </c>
      <c r="Q62" s="18">
        <f t="shared" si="14"/>
        <v>0</v>
      </c>
      <c r="R62" s="18">
        <f t="shared" si="14"/>
        <v>0</v>
      </c>
      <c r="S62" s="18">
        <f t="shared" si="14"/>
        <v>0</v>
      </c>
      <c r="T62" s="18">
        <f t="shared" si="14"/>
        <v>0</v>
      </c>
      <c r="U62" s="18">
        <f t="shared" si="14"/>
        <v>0</v>
      </c>
      <c r="V62" s="18">
        <f t="shared" si="14"/>
        <v>0</v>
      </c>
      <c r="W62" s="2"/>
    </row>
    <row r="63" spans="2:23">
      <c r="B63" s="2"/>
      <c r="C63" s="55" t="s">
        <v>283</v>
      </c>
      <c r="D63" s="56"/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18">
        <f>0</f>
        <v>0</v>
      </c>
      <c r="K63" s="18">
        <f>0</f>
        <v>0</v>
      </c>
      <c r="L63" s="18">
        <f>0</f>
        <v>0</v>
      </c>
      <c r="M63" s="18">
        <f>0</f>
        <v>0</v>
      </c>
      <c r="N63" s="18">
        <f>0</f>
        <v>0</v>
      </c>
      <c r="O63" s="18">
        <f>0</f>
        <v>0</v>
      </c>
      <c r="P63" s="18">
        <f>0</f>
        <v>0</v>
      </c>
      <c r="Q63" s="18">
        <f>0</f>
        <v>0</v>
      </c>
      <c r="R63" s="18">
        <f>0</f>
        <v>0</v>
      </c>
      <c r="S63" s="18">
        <f>0</f>
        <v>0</v>
      </c>
      <c r="T63" s="18">
        <f>0</f>
        <v>0</v>
      </c>
      <c r="U63" s="18">
        <f>0</f>
        <v>0</v>
      </c>
      <c r="V63" s="18">
        <f>0</f>
        <v>0</v>
      </c>
      <c r="W63" s="2"/>
    </row>
    <row r="64" spans="2:23">
      <c r="B64" s="2"/>
      <c r="C64" s="55" t="s">
        <v>284</v>
      </c>
      <c r="D64" s="56"/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18">
        <f>0</f>
        <v>0</v>
      </c>
      <c r="K64" s="18">
        <f>0</f>
        <v>0</v>
      </c>
      <c r="L64" s="18">
        <f>0</f>
        <v>0</v>
      </c>
      <c r="M64" s="18">
        <f>0</f>
        <v>0</v>
      </c>
      <c r="N64" s="18">
        <f>0</f>
        <v>0</v>
      </c>
      <c r="O64" s="18">
        <f>0</f>
        <v>0</v>
      </c>
      <c r="P64" s="18">
        <f>0</f>
        <v>0</v>
      </c>
      <c r="Q64" s="18">
        <f>0</f>
        <v>0</v>
      </c>
      <c r="R64" s="18">
        <f>0</f>
        <v>0</v>
      </c>
      <c r="S64" s="18">
        <f>0</f>
        <v>0</v>
      </c>
      <c r="T64" s="18">
        <f>0</f>
        <v>0</v>
      </c>
      <c r="U64" s="18">
        <f>0</f>
        <v>0</v>
      </c>
      <c r="V64" s="18">
        <f>0</f>
        <v>0</v>
      </c>
      <c r="W64" s="2"/>
    </row>
    <row r="65" spans="2:23">
      <c r="B65" s="2"/>
      <c r="C65" s="55" t="s">
        <v>285</v>
      </c>
      <c r="D65" s="56"/>
      <c r="E65" s="18">
        <f>0</f>
        <v>0</v>
      </c>
      <c r="F65" s="18">
        <f>0</f>
        <v>0</v>
      </c>
      <c r="G65" s="18">
        <f>0</f>
        <v>0</v>
      </c>
      <c r="H65" s="18">
        <f>0</f>
        <v>0</v>
      </c>
      <c r="I65" s="18">
        <f>0</f>
        <v>0</v>
      </c>
      <c r="J65" s="18">
        <f>0</f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18">
        <f>0</f>
        <v>0</v>
      </c>
      <c r="Q65" s="18">
        <f>0</f>
        <v>0</v>
      </c>
      <c r="R65" s="18">
        <f>0</f>
        <v>0</v>
      </c>
      <c r="S65" s="18">
        <f>0</f>
        <v>0</v>
      </c>
      <c r="T65" s="18">
        <f>0</f>
        <v>0</v>
      </c>
      <c r="U65" s="18">
        <f>0</f>
        <v>0</v>
      </c>
      <c r="V65" s="18">
        <f>0</f>
        <v>0</v>
      </c>
      <c r="W65" s="2"/>
    </row>
    <row r="66" spans="2:23">
      <c r="B66" s="2"/>
      <c r="C66" s="55" t="s">
        <v>582</v>
      </c>
      <c r="D66" s="56"/>
      <c r="E66" s="18">
        <f>0</f>
        <v>0</v>
      </c>
      <c r="F66" s="18">
        <f>0</f>
        <v>0</v>
      </c>
      <c r="G66" s="18">
        <f>0</f>
        <v>0</v>
      </c>
      <c r="H66" s="18">
        <f>0</f>
        <v>0</v>
      </c>
      <c r="I66" s="18">
        <f>0</f>
        <v>0</v>
      </c>
      <c r="J66" s="18">
        <f>0</f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18">
        <f>0</f>
        <v>0</v>
      </c>
      <c r="Q66" s="18">
        <f>0</f>
        <v>0</v>
      </c>
      <c r="R66" s="18">
        <f>0</f>
        <v>0</v>
      </c>
      <c r="S66" s="18">
        <f>0</f>
        <v>0</v>
      </c>
      <c r="T66" s="18">
        <f>0</f>
        <v>0</v>
      </c>
      <c r="U66" s="18">
        <f>0</f>
        <v>0</v>
      </c>
      <c r="V66" s="18">
        <f>0</f>
        <v>0</v>
      </c>
      <c r="W66" s="2"/>
    </row>
    <row r="67" spans="2:23">
      <c r="B67" s="2"/>
      <c r="C67" s="55" t="s">
        <v>583</v>
      </c>
      <c r="D67" s="56"/>
      <c r="E67" s="18">
        <f>0</f>
        <v>0</v>
      </c>
      <c r="F67" s="18">
        <f>0</f>
        <v>0</v>
      </c>
      <c r="G67" s="18">
        <f>0</f>
        <v>0</v>
      </c>
      <c r="H67" s="18">
        <f>0</f>
        <v>0</v>
      </c>
      <c r="I67" s="18">
        <f>0</f>
        <v>0</v>
      </c>
      <c r="J67" s="18">
        <f>0</f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18">
        <f>0</f>
        <v>0</v>
      </c>
      <c r="Q67" s="18">
        <f>0</f>
        <v>0</v>
      </c>
      <c r="R67" s="18">
        <f>0</f>
        <v>0</v>
      </c>
      <c r="S67" s="18">
        <f>0</f>
        <v>0</v>
      </c>
      <c r="T67" s="18">
        <f>0</f>
        <v>0</v>
      </c>
      <c r="U67" s="18">
        <f>0</f>
        <v>0</v>
      </c>
      <c r="V67" s="18">
        <f>0</f>
        <v>0</v>
      </c>
      <c r="W67" s="2"/>
    </row>
    <row r="68" spans="2:23">
      <c r="B68" s="2"/>
      <c r="C68" s="55" t="s">
        <v>288</v>
      </c>
      <c r="D68" s="56"/>
      <c r="E68" s="18">
        <f>0</f>
        <v>0</v>
      </c>
      <c r="F68" s="18">
        <f>0</f>
        <v>0</v>
      </c>
      <c r="G68" s="18">
        <f>0</f>
        <v>0</v>
      </c>
      <c r="H68" s="18">
        <f>0</f>
        <v>0</v>
      </c>
      <c r="I68" s="18">
        <f>0</f>
        <v>0</v>
      </c>
      <c r="J68" s="18">
        <f>0</f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18">
        <f>0</f>
        <v>0</v>
      </c>
      <c r="Q68" s="18">
        <f>0</f>
        <v>0</v>
      </c>
      <c r="R68" s="18">
        <f>0</f>
        <v>0</v>
      </c>
      <c r="S68" s="18">
        <f>0</f>
        <v>0</v>
      </c>
      <c r="T68" s="18">
        <f>0</f>
        <v>0</v>
      </c>
      <c r="U68" s="18">
        <f>0</f>
        <v>0</v>
      </c>
      <c r="V68" s="18">
        <f>0</f>
        <v>0</v>
      </c>
      <c r="W68" s="2"/>
    </row>
    <row r="69" spans="2:23">
      <c r="B69" s="2"/>
      <c r="C69" s="32" t="s">
        <v>584</v>
      </c>
      <c r="D69" s="33"/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18">
        <f>SUM(E69:I69)</f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18">
        <f>SUM(K69:O69)</f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18">
        <f>SUM(Q69:U69)</f>
        <v>0</v>
      </c>
      <c r="W69" s="2"/>
    </row>
    <row r="70" spans="2:23">
      <c r="B70" s="2"/>
      <c r="C70" s="37" t="s">
        <v>585</v>
      </c>
      <c r="D70" s="38"/>
      <c r="E70" s="18">
        <f t="shared" ref="E70:V70" si="15">E16-E53</f>
        <v>0</v>
      </c>
      <c r="F70" s="18">
        <f t="shared" si="15"/>
        <v>0</v>
      </c>
      <c r="G70" s="18">
        <f t="shared" si="15"/>
        <v>0</v>
      </c>
      <c r="H70" s="18">
        <f t="shared" si="15"/>
        <v>0</v>
      </c>
      <c r="I70" s="18">
        <f t="shared" si="15"/>
        <v>0</v>
      </c>
      <c r="J70" s="18">
        <f t="shared" si="15"/>
        <v>0</v>
      </c>
      <c r="K70" s="18">
        <f t="shared" si="15"/>
        <v>0</v>
      </c>
      <c r="L70" s="18">
        <f t="shared" si="15"/>
        <v>0</v>
      </c>
      <c r="M70" s="18">
        <f t="shared" si="15"/>
        <v>0</v>
      </c>
      <c r="N70" s="18">
        <f t="shared" si="15"/>
        <v>0</v>
      </c>
      <c r="O70" s="18">
        <f t="shared" si="15"/>
        <v>0</v>
      </c>
      <c r="P70" s="18">
        <f t="shared" si="15"/>
        <v>0</v>
      </c>
      <c r="Q70" s="18">
        <f t="shared" si="15"/>
        <v>0</v>
      </c>
      <c r="R70" s="18">
        <f t="shared" si="15"/>
        <v>0</v>
      </c>
      <c r="S70" s="18">
        <f t="shared" si="15"/>
        <v>0</v>
      </c>
      <c r="T70" s="18">
        <f t="shared" si="15"/>
        <v>0</v>
      </c>
      <c r="U70" s="18">
        <f t="shared" si="15"/>
        <v>0</v>
      </c>
      <c r="V70" s="18">
        <f t="shared" si="15"/>
        <v>0</v>
      </c>
      <c r="W70" s="2"/>
    </row>
    <row r="71" spans="2:23">
      <c r="B71" s="2"/>
      <c r="C71" s="37" t="s">
        <v>586</v>
      </c>
      <c r="D71" s="38"/>
      <c r="E71" s="18">
        <f>4%*MAX(E53-E16,0)</f>
        <v>0</v>
      </c>
      <c r="F71" s="18">
        <f>4%*MAX(F53-F16,0)</f>
        <v>0</v>
      </c>
      <c r="G71" s="18">
        <f>4%*MAX(G53-G16,0)</f>
        <v>0</v>
      </c>
      <c r="H71" s="18">
        <f>4%*MAX(H53-H16,0)</f>
        <v>0</v>
      </c>
      <c r="I71" s="18">
        <f>4%*MAX(I53-I16,0)</f>
        <v>0</v>
      </c>
      <c r="J71" s="18">
        <f>SUM(E71:I71)</f>
        <v>0</v>
      </c>
      <c r="K71" s="18">
        <f>4%*MAX(K53-K16,0)</f>
        <v>0</v>
      </c>
      <c r="L71" s="18">
        <f>4%*MAX(L53-L16,0)</f>
        <v>0</v>
      </c>
      <c r="M71" s="18">
        <f>4%*MAX(M53-M16,0)</f>
        <v>0</v>
      </c>
      <c r="N71" s="18">
        <f>4%*MAX(N53-N16,0)</f>
        <v>0</v>
      </c>
      <c r="O71" s="18">
        <f>4%*MAX(O53-O16,0)</f>
        <v>0</v>
      </c>
      <c r="P71" s="18">
        <f>SUM(K71:O71)</f>
        <v>0</v>
      </c>
      <c r="Q71" s="18">
        <f>4%*MAX(Q53-Q16,0)</f>
        <v>0</v>
      </c>
      <c r="R71" s="18">
        <f>4%*MAX(R53-R16,0)</f>
        <v>0</v>
      </c>
      <c r="S71" s="18">
        <f>4%*MAX(S53-S16,0)</f>
        <v>0</v>
      </c>
      <c r="T71" s="18">
        <f>4%*MAX(T53-T16,0)</f>
        <v>0</v>
      </c>
      <c r="U71" s="18">
        <f>4%*MAX(U53-U16,0)</f>
        <v>0</v>
      </c>
      <c r="V71" s="18">
        <f>SUM(Q71:U71)</f>
        <v>0</v>
      </c>
      <c r="W71" s="2"/>
    </row>
    <row r="72" spans="2:2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5.0999999999999996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</sheetData>
  <sheetProtection sheet="1" formatColumns="0" formatRows="0" selectLockedCells="1"/>
  <mergeCells count="670">
    <mergeCell ref="C14:D15"/>
    <mergeCell ref="E15"/>
    <mergeCell ref="F15"/>
    <mergeCell ref="G15"/>
    <mergeCell ref="H15"/>
    <mergeCell ref="C7:V7"/>
    <mergeCell ref="C9:V9"/>
    <mergeCell ref="C10:V10"/>
    <mergeCell ref="C11:V11"/>
    <mergeCell ref="C13:V13"/>
    <mergeCell ref="O15"/>
    <mergeCell ref="P15"/>
    <mergeCell ref="O14:P14"/>
    <mergeCell ref="I15"/>
    <mergeCell ref="J15"/>
    <mergeCell ref="E14:J14"/>
    <mergeCell ref="K15"/>
    <mergeCell ref="L15"/>
    <mergeCell ref="K14:L14"/>
    <mergeCell ref="Q14:V14"/>
    <mergeCell ref="V15"/>
    <mergeCell ref="C16:D16"/>
    <mergeCell ref="C17:D17"/>
    <mergeCell ref="C18:D18"/>
    <mergeCell ref="E18"/>
    <mergeCell ref="F18"/>
    <mergeCell ref="G18"/>
    <mergeCell ref="H18"/>
    <mergeCell ref="I18"/>
    <mergeCell ref="K18"/>
    <mergeCell ref="L18"/>
    <mergeCell ref="M18"/>
    <mergeCell ref="N18"/>
    <mergeCell ref="O18"/>
    <mergeCell ref="Q18"/>
    <mergeCell ref="Q15"/>
    <mergeCell ref="R15"/>
    <mergeCell ref="S15"/>
    <mergeCell ref="T15"/>
    <mergeCell ref="U15"/>
    <mergeCell ref="M15"/>
    <mergeCell ref="N15"/>
    <mergeCell ref="M14:N14"/>
    <mergeCell ref="R18"/>
    <mergeCell ref="S18"/>
    <mergeCell ref="T18"/>
    <mergeCell ref="U18"/>
    <mergeCell ref="C19:D19"/>
    <mergeCell ref="E19"/>
    <mergeCell ref="F19"/>
    <mergeCell ref="G19"/>
    <mergeCell ref="H19"/>
    <mergeCell ref="I19"/>
    <mergeCell ref="K19"/>
    <mergeCell ref="L19"/>
    <mergeCell ref="M19"/>
    <mergeCell ref="N19"/>
    <mergeCell ref="O19"/>
    <mergeCell ref="Q19"/>
    <mergeCell ref="R19"/>
    <mergeCell ref="S19"/>
    <mergeCell ref="T19"/>
    <mergeCell ref="U19"/>
    <mergeCell ref="C20:D20"/>
    <mergeCell ref="E20"/>
    <mergeCell ref="F20"/>
    <mergeCell ref="G20"/>
    <mergeCell ref="H20"/>
    <mergeCell ref="I20"/>
    <mergeCell ref="K20"/>
    <mergeCell ref="L20"/>
    <mergeCell ref="M20"/>
    <mergeCell ref="N20"/>
    <mergeCell ref="O20"/>
    <mergeCell ref="Q20"/>
    <mergeCell ref="R20"/>
    <mergeCell ref="S20"/>
    <mergeCell ref="T20"/>
    <mergeCell ref="U20"/>
    <mergeCell ref="C21:D21"/>
    <mergeCell ref="E21"/>
    <mergeCell ref="F21"/>
    <mergeCell ref="G21"/>
    <mergeCell ref="H21"/>
    <mergeCell ref="I21"/>
    <mergeCell ref="K21"/>
    <mergeCell ref="L21"/>
    <mergeCell ref="M21"/>
    <mergeCell ref="N21"/>
    <mergeCell ref="O21"/>
    <mergeCell ref="Q21"/>
    <mergeCell ref="R21"/>
    <mergeCell ref="S21"/>
    <mergeCell ref="T21"/>
    <mergeCell ref="U21"/>
    <mergeCell ref="C22:D22"/>
    <mergeCell ref="E22"/>
    <mergeCell ref="F22"/>
    <mergeCell ref="G22"/>
    <mergeCell ref="H22"/>
    <mergeCell ref="I22"/>
    <mergeCell ref="K22"/>
    <mergeCell ref="L22"/>
    <mergeCell ref="M22"/>
    <mergeCell ref="N22"/>
    <mergeCell ref="O22"/>
    <mergeCell ref="Q22"/>
    <mergeCell ref="R22"/>
    <mergeCell ref="S22"/>
    <mergeCell ref="T22"/>
    <mergeCell ref="U22"/>
    <mergeCell ref="C23:D23"/>
    <mergeCell ref="E23"/>
    <mergeCell ref="F23"/>
    <mergeCell ref="G23"/>
    <mergeCell ref="H23"/>
    <mergeCell ref="I23"/>
    <mergeCell ref="K23"/>
    <mergeCell ref="L23"/>
    <mergeCell ref="M23"/>
    <mergeCell ref="N23"/>
    <mergeCell ref="O23"/>
    <mergeCell ref="Q23"/>
    <mergeCell ref="R23"/>
    <mergeCell ref="S23"/>
    <mergeCell ref="T23"/>
    <mergeCell ref="U23"/>
    <mergeCell ref="C24:D24"/>
    <mergeCell ref="E24"/>
    <mergeCell ref="F24"/>
    <mergeCell ref="G24"/>
    <mergeCell ref="H24"/>
    <mergeCell ref="I24"/>
    <mergeCell ref="K24"/>
    <mergeCell ref="L24"/>
    <mergeCell ref="M24"/>
    <mergeCell ref="N24"/>
    <mergeCell ref="O24"/>
    <mergeCell ref="Q24"/>
    <mergeCell ref="R24"/>
    <mergeCell ref="S24"/>
    <mergeCell ref="T24"/>
    <mergeCell ref="U24"/>
    <mergeCell ref="C25:D25"/>
    <mergeCell ref="E25"/>
    <mergeCell ref="F25"/>
    <mergeCell ref="G25"/>
    <mergeCell ref="H25"/>
    <mergeCell ref="I25"/>
    <mergeCell ref="K25"/>
    <mergeCell ref="L25"/>
    <mergeCell ref="M25"/>
    <mergeCell ref="N25"/>
    <mergeCell ref="O25"/>
    <mergeCell ref="Q25"/>
    <mergeCell ref="R25"/>
    <mergeCell ref="S25"/>
    <mergeCell ref="T25"/>
    <mergeCell ref="U25"/>
    <mergeCell ref="C26:D26"/>
    <mergeCell ref="E26"/>
    <mergeCell ref="F26"/>
    <mergeCell ref="G26"/>
    <mergeCell ref="H26"/>
    <mergeCell ref="I26"/>
    <mergeCell ref="K26"/>
    <mergeCell ref="L26"/>
    <mergeCell ref="M26"/>
    <mergeCell ref="N26"/>
    <mergeCell ref="O26"/>
    <mergeCell ref="Q26"/>
    <mergeCell ref="R26"/>
    <mergeCell ref="S26"/>
    <mergeCell ref="T26"/>
    <mergeCell ref="U26"/>
    <mergeCell ref="C27:D27"/>
    <mergeCell ref="E27"/>
    <mergeCell ref="F27"/>
    <mergeCell ref="G27"/>
    <mergeCell ref="H27"/>
    <mergeCell ref="I27"/>
    <mergeCell ref="K27"/>
    <mergeCell ref="L27"/>
    <mergeCell ref="M27"/>
    <mergeCell ref="N27"/>
    <mergeCell ref="O27"/>
    <mergeCell ref="Q27"/>
    <mergeCell ref="R27"/>
    <mergeCell ref="S27"/>
    <mergeCell ref="T27"/>
    <mergeCell ref="U27"/>
    <mergeCell ref="C28:D28"/>
    <mergeCell ref="E28"/>
    <mergeCell ref="F28"/>
    <mergeCell ref="G28"/>
    <mergeCell ref="H28"/>
    <mergeCell ref="I28"/>
    <mergeCell ref="K28"/>
    <mergeCell ref="L28"/>
    <mergeCell ref="M28"/>
    <mergeCell ref="N28"/>
    <mergeCell ref="O28"/>
    <mergeCell ref="Q28"/>
    <mergeCell ref="R28"/>
    <mergeCell ref="S28"/>
    <mergeCell ref="T28"/>
    <mergeCell ref="U28"/>
    <mergeCell ref="C29:D29"/>
    <mergeCell ref="E29"/>
    <mergeCell ref="F29"/>
    <mergeCell ref="G29"/>
    <mergeCell ref="H29"/>
    <mergeCell ref="I29"/>
    <mergeCell ref="K29"/>
    <mergeCell ref="L29"/>
    <mergeCell ref="M29"/>
    <mergeCell ref="N29"/>
    <mergeCell ref="O29"/>
    <mergeCell ref="Q29"/>
    <mergeCell ref="R29"/>
    <mergeCell ref="S29"/>
    <mergeCell ref="T29"/>
    <mergeCell ref="U29"/>
    <mergeCell ref="C30:D30"/>
    <mergeCell ref="E30"/>
    <mergeCell ref="F30"/>
    <mergeCell ref="G30"/>
    <mergeCell ref="H30"/>
    <mergeCell ref="I30"/>
    <mergeCell ref="K30"/>
    <mergeCell ref="L30"/>
    <mergeCell ref="M30"/>
    <mergeCell ref="N30"/>
    <mergeCell ref="O30"/>
    <mergeCell ref="Q30"/>
    <mergeCell ref="R30"/>
    <mergeCell ref="S30"/>
    <mergeCell ref="T30"/>
    <mergeCell ref="U30"/>
    <mergeCell ref="C31:D31"/>
    <mergeCell ref="E31"/>
    <mergeCell ref="F31"/>
    <mergeCell ref="G31"/>
    <mergeCell ref="H31"/>
    <mergeCell ref="I31"/>
    <mergeCell ref="K31"/>
    <mergeCell ref="L31"/>
    <mergeCell ref="M31"/>
    <mergeCell ref="N31"/>
    <mergeCell ref="O31"/>
    <mergeCell ref="Q31"/>
    <mergeCell ref="R31"/>
    <mergeCell ref="S31"/>
    <mergeCell ref="T31"/>
    <mergeCell ref="U31"/>
    <mergeCell ref="C32:D32"/>
    <mergeCell ref="E32"/>
    <mergeCell ref="F32"/>
    <mergeCell ref="G32"/>
    <mergeCell ref="H32"/>
    <mergeCell ref="I32"/>
    <mergeCell ref="M35"/>
    <mergeCell ref="N35"/>
    <mergeCell ref="C35:D35"/>
    <mergeCell ref="E35"/>
    <mergeCell ref="F35"/>
    <mergeCell ref="G35"/>
    <mergeCell ref="H35"/>
    <mergeCell ref="I33"/>
    <mergeCell ref="C34:D34"/>
    <mergeCell ref="E34"/>
    <mergeCell ref="F34"/>
    <mergeCell ref="G34"/>
    <mergeCell ref="H34"/>
    <mergeCell ref="I34"/>
    <mergeCell ref="C33:D33"/>
    <mergeCell ref="E33"/>
    <mergeCell ref="F33"/>
    <mergeCell ref="G33"/>
    <mergeCell ref="H33"/>
    <mergeCell ref="U35"/>
    <mergeCell ref="C36:D36"/>
    <mergeCell ref="E36"/>
    <mergeCell ref="F36"/>
    <mergeCell ref="G36"/>
    <mergeCell ref="H36"/>
    <mergeCell ref="I36"/>
    <mergeCell ref="K36"/>
    <mergeCell ref="L36"/>
    <mergeCell ref="M36"/>
    <mergeCell ref="N36"/>
    <mergeCell ref="O36"/>
    <mergeCell ref="Q36"/>
    <mergeCell ref="R36"/>
    <mergeCell ref="S36"/>
    <mergeCell ref="T36"/>
    <mergeCell ref="O35"/>
    <mergeCell ref="Q35"/>
    <mergeCell ref="R35"/>
    <mergeCell ref="S35"/>
    <mergeCell ref="T35"/>
    <mergeCell ref="I35"/>
    <mergeCell ref="K35"/>
    <mergeCell ref="L35"/>
    <mergeCell ref="U36"/>
    <mergeCell ref="C37:D37"/>
    <mergeCell ref="E37"/>
    <mergeCell ref="F37"/>
    <mergeCell ref="G37"/>
    <mergeCell ref="H37"/>
    <mergeCell ref="I37"/>
    <mergeCell ref="K37"/>
    <mergeCell ref="L37"/>
    <mergeCell ref="M37"/>
    <mergeCell ref="N37"/>
    <mergeCell ref="O37"/>
    <mergeCell ref="Q37"/>
    <mergeCell ref="R37"/>
    <mergeCell ref="S37"/>
    <mergeCell ref="T37"/>
    <mergeCell ref="U37"/>
    <mergeCell ref="C38:D38"/>
    <mergeCell ref="E38"/>
    <mergeCell ref="F38"/>
    <mergeCell ref="G38"/>
    <mergeCell ref="H38"/>
    <mergeCell ref="I38"/>
    <mergeCell ref="K38"/>
    <mergeCell ref="L38"/>
    <mergeCell ref="M38"/>
    <mergeCell ref="N38"/>
    <mergeCell ref="O38"/>
    <mergeCell ref="Q38"/>
    <mergeCell ref="R38"/>
    <mergeCell ref="S38"/>
    <mergeCell ref="T38"/>
    <mergeCell ref="U38"/>
    <mergeCell ref="C39:D39"/>
    <mergeCell ref="C40:D40"/>
    <mergeCell ref="E40"/>
    <mergeCell ref="F40"/>
    <mergeCell ref="G40"/>
    <mergeCell ref="H40"/>
    <mergeCell ref="I40"/>
    <mergeCell ref="K40"/>
    <mergeCell ref="L40"/>
    <mergeCell ref="M40"/>
    <mergeCell ref="N40"/>
    <mergeCell ref="O40"/>
    <mergeCell ref="Q40"/>
    <mergeCell ref="R40"/>
    <mergeCell ref="S40"/>
    <mergeCell ref="T40"/>
    <mergeCell ref="U40"/>
    <mergeCell ref="C41:D41"/>
    <mergeCell ref="E41"/>
    <mergeCell ref="F41"/>
    <mergeCell ref="G41"/>
    <mergeCell ref="H41"/>
    <mergeCell ref="I41"/>
    <mergeCell ref="K41"/>
    <mergeCell ref="L41"/>
    <mergeCell ref="M41"/>
    <mergeCell ref="N41"/>
    <mergeCell ref="O41"/>
    <mergeCell ref="Q41"/>
    <mergeCell ref="R41"/>
    <mergeCell ref="S41"/>
    <mergeCell ref="T41"/>
    <mergeCell ref="U41"/>
    <mergeCell ref="C42:D42"/>
    <mergeCell ref="E42"/>
    <mergeCell ref="F42"/>
    <mergeCell ref="G42"/>
    <mergeCell ref="H42"/>
    <mergeCell ref="I42"/>
    <mergeCell ref="K42"/>
    <mergeCell ref="L42"/>
    <mergeCell ref="M42"/>
    <mergeCell ref="N42"/>
    <mergeCell ref="O42"/>
    <mergeCell ref="Q42"/>
    <mergeCell ref="R42"/>
    <mergeCell ref="S42"/>
    <mergeCell ref="M44"/>
    <mergeCell ref="N44"/>
    <mergeCell ref="C44:D44"/>
    <mergeCell ref="E44"/>
    <mergeCell ref="F44"/>
    <mergeCell ref="G44"/>
    <mergeCell ref="H44"/>
    <mergeCell ref="T42"/>
    <mergeCell ref="U42"/>
    <mergeCell ref="C43:D43"/>
    <mergeCell ref="E43"/>
    <mergeCell ref="F43"/>
    <mergeCell ref="G43"/>
    <mergeCell ref="H43"/>
    <mergeCell ref="I43"/>
    <mergeCell ref="K43"/>
    <mergeCell ref="L43"/>
    <mergeCell ref="M43"/>
    <mergeCell ref="N43"/>
    <mergeCell ref="O43"/>
    <mergeCell ref="U44"/>
    <mergeCell ref="C45:D45"/>
    <mergeCell ref="E45"/>
    <mergeCell ref="F45"/>
    <mergeCell ref="G45"/>
    <mergeCell ref="H45"/>
    <mergeCell ref="I45"/>
    <mergeCell ref="K45"/>
    <mergeCell ref="L45"/>
    <mergeCell ref="M45"/>
    <mergeCell ref="N45"/>
    <mergeCell ref="O45"/>
    <mergeCell ref="Q45"/>
    <mergeCell ref="R45"/>
    <mergeCell ref="S45"/>
    <mergeCell ref="T45"/>
    <mergeCell ref="O44"/>
    <mergeCell ref="Q44"/>
    <mergeCell ref="R44"/>
    <mergeCell ref="S44"/>
    <mergeCell ref="T44"/>
    <mergeCell ref="I44"/>
    <mergeCell ref="K44"/>
    <mergeCell ref="L44"/>
    <mergeCell ref="U45"/>
    <mergeCell ref="C46:D46"/>
    <mergeCell ref="E46"/>
    <mergeCell ref="F46"/>
    <mergeCell ref="G46"/>
    <mergeCell ref="H46"/>
    <mergeCell ref="I46"/>
    <mergeCell ref="K46"/>
    <mergeCell ref="L46"/>
    <mergeCell ref="M46"/>
    <mergeCell ref="N46"/>
    <mergeCell ref="O46"/>
    <mergeCell ref="Q46"/>
    <mergeCell ref="R46"/>
    <mergeCell ref="S46"/>
    <mergeCell ref="T46"/>
    <mergeCell ref="U47"/>
    <mergeCell ref="C48:D48"/>
    <mergeCell ref="E48"/>
    <mergeCell ref="F48"/>
    <mergeCell ref="G48"/>
    <mergeCell ref="H48"/>
    <mergeCell ref="I48"/>
    <mergeCell ref="U46"/>
    <mergeCell ref="C47:D47"/>
    <mergeCell ref="E47"/>
    <mergeCell ref="F47"/>
    <mergeCell ref="G47"/>
    <mergeCell ref="H47"/>
    <mergeCell ref="I47"/>
    <mergeCell ref="K47"/>
    <mergeCell ref="L47"/>
    <mergeCell ref="M47"/>
    <mergeCell ref="N47"/>
    <mergeCell ref="O47"/>
    <mergeCell ref="Q47"/>
    <mergeCell ref="R47"/>
    <mergeCell ref="S47"/>
    <mergeCell ref="T47"/>
    <mergeCell ref="I49"/>
    <mergeCell ref="C50:D50"/>
    <mergeCell ref="E50"/>
    <mergeCell ref="F50"/>
    <mergeCell ref="G50"/>
    <mergeCell ref="H50"/>
    <mergeCell ref="I50"/>
    <mergeCell ref="C49:D49"/>
    <mergeCell ref="E49"/>
    <mergeCell ref="F49"/>
    <mergeCell ref="G49"/>
    <mergeCell ref="H49"/>
    <mergeCell ref="Q50"/>
    <mergeCell ref="R50"/>
    <mergeCell ref="S50"/>
    <mergeCell ref="T50"/>
    <mergeCell ref="U50"/>
    <mergeCell ref="K50"/>
    <mergeCell ref="L50"/>
    <mergeCell ref="M50"/>
    <mergeCell ref="N50"/>
    <mergeCell ref="O50"/>
    <mergeCell ref="R51"/>
    <mergeCell ref="S51"/>
    <mergeCell ref="T51"/>
    <mergeCell ref="I51"/>
    <mergeCell ref="K51"/>
    <mergeCell ref="L51"/>
    <mergeCell ref="M51"/>
    <mergeCell ref="N51"/>
    <mergeCell ref="C51:D51"/>
    <mergeCell ref="E51"/>
    <mergeCell ref="F51"/>
    <mergeCell ref="G51"/>
    <mergeCell ref="H51"/>
    <mergeCell ref="M56"/>
    <mergeCell ref="N56"/>
    <mergeCell ref="C56:D56"/>
    <mergeCell ref="E56"/>
    <mergeCell ref="F56"/>
    <mergeCell ref="G56"/>
    <mergeCell ref="H56"/>
    <mergeCell ref="U51"/>
    <mergeCell ref="C52:D52"/>
    <mergeCell ref="C53:D53"/>
    <mergeCell ref="C54:D54"/>
    <mergeCell ref="C55:D55"/>
    <mergeCell ref="K55"/>
    <mergeCell ref="L55"/>
    <mergeCell ref="M55"/>
    <mergeCell ref="N55"/>
    <mergeCell ref="O55"/>
    <mergeCell ref="Q55"/>
    <mergeCell ref="R55"/>
    <mergeCell ref="S55"/>
    <mergeCell ref="T55"/>
    <mergeCell ref="U55"/>
    <mergeCell ref="O51"/>
    <mergeCell ref="Q51"/>
    <mergeCell ref="U56"/>
    <mergeCell ref="C57:D57"/>
    <mergeCell ref="E57"/>
    <mergeCell ref="F57"/>
    <mergeCell ref="G57"/>
    <mergeCell ref="H57"/>
    <mergeCell ref="I57"/>
    <mergeCell ref="K57"/>
    <mergeCell ref="L57"/>
    <mergeCell ref="M57"/>
    <mergeCell ref="N57"/>
    <mergeCell ref="O57"/>
    <mergeCell ref="Q57"/>
    <mergeCell ref="R57"/>
    <mergeCell ref="S57"/>
    <mergeCell ref="T57"/>
    <mergeCell ref="O56"/>
    <mergeCell ref="Q56"/>
    <mergeCell ref="R56"/>
    <mergeCell ref="S56"/>
    <mergeCell ref="T56"/>
    <mergeCell ref="I56"/>
    <mergeCell ref="K56"/>
    <mergeCell ref="L56"/>
    <mergeCell ref="U57"/>
    <mergeCell ref="C58:D58"/>
    <mergeCell ref="E58"/>
    <mergeCell ref="F58"/>
    <mergeCell ref="G58"/>
    <mergeCell ref="H58"/>
    <mergeCell ref="I58"/>
    <mergeCell ref="K58"/>
    <mergeCell ref="L58"/>
    <mergeCell ref="M58"/>
    <mergeCell ref="N58"/>
    <mergeCell ref="O58"/>
    <mergeCell ref="Q58"/>
    <mergeCell ref="R58"/>
    <mergeCell ref="S58"/>
    <mergeCell ref="T58"/>
    <mergeCell ref="U58"/>
    <mergeCell ref="C59:D59"/>
    <mergeCell ref="E59"/>
    <mergeCell ref="F59"/>
    <mergeCell ref="G59"/>
    <mergeCell ref="H59"/>
    <mergeCell ref="I59"/>
    <mergeCell ref="K59"/>
    <mergeCell ref="L59"/>
    <mergeCell ref="M59"/>
    <mergeCell ref="N59"/>
    <mergeCell ref="O59"/>
    <mergeCell ref="Q59"/>
    <mergeCell ref="R59"/>
    <mergeCell ref="S59"/>
    <mergeCell ref="T59"/>
    <mergeCell ref="U59"/>
    <mergeCell ref="C60:D60"/>
    <mergeCell ref="E60"/>
    <mergeCell ref="F60"/>
    <mergeCell ref="G60"/>
    <mergeCell ref="H60"/>
    <mergeCell ref="I60"/>
    <mergeCell ref="K60"/>
    <mergeCell ref="L60"/>
    <mergeCell ref="M60"/>
    <mergeCell ref="N60"/>
    <mergeCell ref="O60"/>
    <mergeCell ref="Q60"/>
    <mergeCell ref="R60"/>
    <mergeCell ref="S60"/>
    <mergeCell ref="T60"/>
    <mergeCell ref="U61"/>
    <mergeCell ref="C62:D62"/>
    <mergeCell ref="C63:D63"/>
    <mergeCell ref="E63"/>
    <mergeCell ref="F63"/>
    <mergeCell ref="G63"/>
    <mergeCell ref="H63"/>
    <mergeCell ref="I63"/>
    <mergeCell ref="U60"/>
    <mergeCell ref="C61:D61"/>
    <mergeCell ref="E61"/>
    <mergeCell ref="F61"/>
    <mergeCell ref="G61"/>
    <mergeCell ref="H61"/>
    <mergeCell ref="I61"/>
    <mergeCell ref="K61"/>
    <mergeCell ref="L61"/>
    <mergeCell ref="M61"/>
    <mergeCell ref="N61"/>
    <mergeCell ref="O61"/>
    <mergeCell ref="Q61"/>
    <mergeCell ref="R61"/>
    <mergeCell ref="S61"/>
    <mergeCell ref="T61"/>
    <mergeCell ref="N65"/>
    <mergeCell ref="O65"/>
    <mergeCell ref="C66:D66"/>
    <mergeCell ref="K66"/>
    <mergeCell ref="L66"/>
    <mergeCell ref="M66"/>
    <mergeCell ref="N66"/>
    <mergeCell ref="O66"/>
    <mergeCell ref="I64"/>
    <mergeCell ref="C65:D65"/>
    <mergeCell ref="K65"/>
    <mergeCell ref="L65"/>
    <mergeCell ref="M65"/>
    <mergeCell ref="C64:D64"/>
    <mergeCell ref="E64"/>
    <mergeCell ref="F64"/>
    <mergeCell ref="G64"/>
    <mergeCell ref="H64"/>
    <mergeCell ref="O67"/>
    <mergeCell ref="C68:D68"/>
    <mergeCell ref="K68"/>
    <mergeCell ref="L68"/>
    <mergeCell ref="M68"/>
    <mergeCell ref="N68"/>
    <mergeCell ref="O68"/>
    <mergeCell ref="C67:D67"/>
    <mergeCell ref="K67"/>
    <mergeCell ref="L67"/>
    <mergeCell ref="M67"/>
    <mergeCell ref="N67"/>
    <mergeCell ref="U69"/>
    <mergeCell ref="C70:D70"/>
    <mergeCell ref="C71:D71"/>
    <mergeCell ref="O69"/>
    <mergeCell ref="Q69"/>
    <mergeCell ref="R69"/>
    <mergeCell ref="S69"/>
    <mergeCell ref="T69"/>
    <mergeCell ref="I69"/>
    <mergeCell ref="K69"/>
    <mergeCell ref="L69"/>
    <mergeCell ref="M69"/>
    <mergeCell ref="N69"/>
    <mergeCell ref="C69:D69"/>
    <mergeCell ref="E69"/>
    <mergeCell ref="F69"/>
    <mergeCell ref="G69"/>
    <mergeCell ref="H69"/>
  </mergeCells>
  <dataValidations count="585"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587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560</v>
      </c>
      <c r="D9" s="46"/>
      <c r="E9" s="46"/>
      <c r="F9" s="46"/>
      <c r="G9" s="46"/>
      <c r="H9" s="46"/>
      <c r="I9" s="2"/>
    </row>
    <row r="10" spans="2:9">
      <c r="B10" s="2"/>
      <c r="C10" s="46" t="s">
        <v>588</v>
      </c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 t="s">
        <v>232</v>
      </c>
      <c r="D13" s="48"/>
      <c r="E13" s="48"/>
      <c r="F13" s="48"/>
      <c r="G13" s="48"/>
      <c r="H13" s="48"/>
      <c r="I13" s="2"/>
    </row>
    <row r="14" spans="2:9">
      <c r="B14" s="2"/>
      <c r="C14" s="40" t="s">
        <v>236</v>
      </c>
      <c r="D14" s="38"/>
      <c r="E14" s="40" t="str">
        <f>"Jumlah Deviasi"</f>
        <v>Jumlah Deviasi</v>
      </c>
      <c r="F14" s="54"/>
      <c r="G14" s="38"/>
      <c r="H14" s="43" t="str">
        <f>""</f>
        <v/>
      </c>
      <c r="I14" s="2"/>
    </row>
    <row r="15" spans="2:9">
      <c r="B15" s="2"/>
      <c r="C15" s="41"/>
      <c r="D15" s="42"/>
      <c r="E15" s="43" t="str">
        <f>"Dana Perusahaan"</f>
        <v>Dana Perusahaan</v>
      </c>
      <c r="F15" s="43" t="str">
        <f>"Dana Tabarru"</f>
        <v>Dana Tabarru</v>
      </c>
      <c r="G15" s="43" t="str">
        <f>"PAYDI (digaransi)"</f>
        <v>PAYDI (digaransi)</v>
      </c>
      <c r="H15" s="43" t="str">
        <f>"Total"</f>
        <v>Total</v>
      </c>
      <c r="I15" s="2"/>
    </row>
    <row r="16" spans="2:9">
      <c r="B16" s="2"/>
      <c r="C16" s="37" t="s">
        <v>589</v>
      </c>
      <c r="D16" s="38"/>
      <c r="E16" s="18">
        <f>RPARES!I49</f>
        <v>0</v>
      </c>
      <c r="F16" s="18">
        <f>RPARES!J49</f>
        <v>0</v>
      </c>
      <c r="G16" s="51">
        <v>0</v>
      </c>
      <c r="H16" s="18">
        <f>SUM(E16:G16)</f>
        <v>0</v>
      </c>
      <c r="I16" s="2"/>
    </row>
    <row r="17" spans="2:9">
      <c r="B17" s="2"/>
      <c r="C17" s="37" t="s">
        <v>590</v>
      </c>
      <c r="D17" s="38"/>
      <c r="E17" s="18">
        <f>'RPSB-R'!M69</f>
        <v>0</v>
      </c>
      <c r="F17" s="18">
        <f>'RPSB-R'!V69</f>
        <v>0</v>
      </c>
      <c r="G17" s="51">
        <v>0</v>
      </c>
      <c r="H17" s="18">
        <f>SUM(E17:G17)</f>
        <v>0</v>
      </c>
      <c r="I17" s="2"/>
    </row>
    <row r="18" spans="2:9">
      <c r="B18" s="2"/>
      <c r="C18" s="37" t="s">
        <v>591</v>
      </c>
      <c r="D18" s="38"/>
      <c r="E18" s="18">
        <f>'RPSC-R'!E23</f>
        <v>0</v>
      </c>
      <c r="F18" s="18">
        <f>'RPSC-R'!F23</f>
        <v>0</v>
      </c>
      <c r="G18" s="51">
        <v>0</v>
      </c>
      <c r="H18" s="18">
        <f>SUM(E18:G18)</f>
        <v>0</v>
      </c>
      <c r="I18" s="2"/>
    </row>
    <row r="19" spans="2:9">
      <c r="B19" s="2"/>
      <c r="C19" s="37" t="s">
        <v>592</v>
      </c>
      <c r="D19" s="38"/>
      <c r="E19" s="18">
        <f>SUM(E16:E18)</f>
        <v>0</v>
      </c>
      <c r="F19" s="18">
        <f>SUM(F16:F18)</f>
        <v>0</v>
      </c>
      <c r="G19" s="18">
        <f>SUM(G16:G18)</f>
        <v>0</v>
      </c>
      <c r="H19" s="18">
        <f>SUM(H16:H18)</f>
        <v>0</v>
      </c>
      <c r="I19" s="2"/>
    </row>
    <row r="20" spans="2:9">
      <c r="B20" s="2"/>
      <c r="C20" s="2"/>
      <c r="D20" s="2"/>
      <c r="E20" s="2"/>
      <c r="F20" s="2"/>
      <c r="G20" s="2"/>
      <c r="H20" s="2"/>
      <c r="I20" s="2"/>
    </row>
    <row r="21" spans="2:9" ht="5.0999999999999996" customHeight="1">
      <c r="B21" s="2"/>
      <c r="C21" s="2"/>
      <c r="D21" s="2"/>
      <c r="E21" s="2"/>
      <c r="F21" s="2"/>
      <c r="G21" s="2"/>
      <c r="H21" s="2"/>
      <c r="I21" s="2"/>
    </row>
  </sheetData>
  <sheetProtection sheet="1" formatColumns="0" formatRows="0" selectLockedCells="1"/>
  <mergeCells count="19">
    <mergeCell ref="C7:H7"/>
    <mergeCell ref="C9:H9"/>
    <mergeCell ref="C10:H10"/>
    <mergeCell ref="C11:H11"/>
    <mergeCell ref="C13:H13"/>
    <mergeCell ref="C14:D15"/>
    <mergeCell ref="E15"/>
    <mergeCell ref="F15"/>
    <mergeCell ref="G15"/>
    <mergeCell ref="H14"/>
    <mergeCell ref="E14:G14"/>
    <mergeCell ref="H15"/>
    <mergeCell ref="C19:D19"/>
    <mergeCell ref="C16:D16"/>
    <mergeCell ref="G16"/>
    <mergeCell ref="C17:D17"/>
    <mergeCell ref="G17"/>
    <mergeCell ref="C18:D18"/>
    <mergeCell ref="G18"/>
  </mergeCells>
  <dataValidations count="3"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showGridLines="0" workbookViewId="0">
      <pane xSplit="4" ySplit="15" topLeftCell="G16" activePane="bottomRight" state="frozen"/>
      <selection pane="topRight" activeCell="E1" sqref="E1"/>
      <selection pane="bottomLeft" activeCell="A16" sqref="A16"/>
      <selection pane="bottomRight" activeCell="E37" sqref="E37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>
      <c r="B2" s="9" t="s">
        <v>593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2"/>
      <c r="C9" s="46" t="s">
        <v>560</v>
      </c>
      <c r="D9" s="46"/>
      <c r="E9" s="46"/>
      <c r="F9" s="46"/>
      <c r="G9" s="46"/>
      <c r="H9" s="46"/>
      <c r="I9" s="46"/>
      <c r="J9" s="46"/>
      <c r="K9" s="46"/>
      <c r="L9" s="2"/>
    </row>
    <row r="10" spans="2:12">
      <c r="B10" s="2"/>
      <c r="C10" s="46" t="s">
        <v>594</v>
      </c>
      <c r="D10" s="46"/>
      <c r="E10" s="46"/>
      <c r="F10" s="46"/>
      <c r="G10" s="46"/>
      <c r="H10" s="46"/>
      <c r="I10" s="46"/>
      <c r="J10" s="46"/>
      <c r="K10" s="46"/>
      <c r="L10" s="2"/>
    </row>
    <row r="11" spans="2:12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2"/>
    </row>
    <row r="12" spans="2:1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2"/>
    </row>
    <row r="14" spans="2:12">
      <c r="B14" s="2"/>
      <c r="C14" s="40" t="s">
        <v>236</v>
      </c>
      <c r="D14" s="38"/>
      <c r="E14" s="40" t="str">
        <f>"Jumlah AYD"</f>
        <v>Jumlah AYD</v>
      </c>
      <c r="F14" s="54"/>
      <c r="G14" s="38"/>
      <c r="H14" s="43" t="str">
        <f>""</f>
        <v/>
      </c>
      <c r="I14" s="40" t="str">
        <f>"Jumlah Deviasi"</f>
        <v>Jumlah Deviasi</v>
      </c>
      <c r="J14" s="54"/>
      <c r="K14" s="38"/>
      <c r="L14" s="2"/>
    </row>
    <row r="15" spans="2:12">
      <c r="B15" s="2"/>
      <c r="C15" s="41"/>
      <c r="D15" s="42"/>
      <c r="E15" s="43" t="str">
        <f>"Dana Perusahaan"</f>
        <v>Dana Perusahaan</v>
      </c>
      <c r="F15" s="43" t="str">
        <f>"Dana Tabarru'"</f>
        <v>Dana Tabarru'</v>
      </c>
      <c r="G15" s="43" t="str">
        <f>"PAYDI (digaransi)"</f>
        <v>PAYDI (digaransi)</v>
      </c>
      <c r="H15" s="43" t="str">
        <f>"Faktor"</f>
        <v>Faktor</v>
      </c>
      <c r="I15" s="43" t="str">
        <f>"Dana Perusahaan"</f>
        <v>Dana Perusahaan</v>
      </c>
      <c r="J15" s="43" t="str">
        <f>"Dana Tabarru'"</f>
        <v>Dana Tabarru'</v>
      </c>
      <c r="K15" s="43" t="str">
        <f>"PAYDI (digaransi)"</f>
        <v>PAYDI (digaransi)</v>
      </c>
      <c r="L15" s="2"/>
    </row>
    <row r="16" spans="2:12">
      <c r="B16" s="2"/>
      <c r="C16" s="37" t="s">
        <v>248</v>
      </c>
      <c r="D16" s="38"/>
      <c r="E16" s="18">
        <f>E17+E23+E31+E37+E38+E41+E45+E46</f>
        <v>0</v>
      </c>
      <c r="F16" s="18">
        <f>F17+F23+F31+F37+F38+F41+F45+F46</f>
        <v>0</v>
      </c>
      <c r="G16" s="18">
        <f>G17+G23+G31+G37+G38+G41+G45+G46</f>
        <v>0</v>
      </c>
      <c r="H16" s="21">
        <f>0</f>
        <v>0</v>
      </c>
      <c r="I16" s="18">
        <f>I17+I23+I31+I37+I38+I41+I45+I46</f>
        <v>0</v>
      </c>
      <c r="J16" s="18">
        <f>J17+J23+J31+J37+J38+J41+J45+J46</f>
        <v>0</v>
      </c>
      <c r="K16" s="18">
        <f>K17+K23+K31+K37+K38+K41+K45+K46</f>
        <v>0</v>
      </c>
      <c r="L16" s="2"/>
    </row>
    <row r="17" spans="2:12">
      <c r="B17" s="2"/>
      <c r="C17" s="35" t="s">
        <v>251</v>
      </c>
      <c r="D17" s="36"/>
      <c r="E17" s="18">
        <f>SUM(E18:E22)</f>
        <v>0</v>
      </c>
      <c r="F17" s="18">
        <f>SUM(F18:F22)</f>
        <v>0</v>
      </c>
      <c r="G17" s="18">
        <f>SUM(G18:G22)</f>
        <v>0</v>
      </c>
      <c r="H17" s="21">
        <f>0</f>
        <v>0</v>
      </c>
      <c r="I17" s="18">
        <f>SUM(I18:I22)</f>
        <v>0</v>
      </c>
      <c r="J17" s="18">
        <f>SUM(J18:J22)</f>
        <v>0</v>
      </c>
      <c r="K17" s="18">
        <f>SUM(K18:K22)</f>
        <v>0</v>
      </c>
      <c r="L17" s="2"/>
    </row>
    <row r="18" spans="2:12">
      <c r="B18" s="2"/>
      <c r="C18" s="32" t="s">
        <v>595</v>
      </c>
      <c r="D18" s="33"/>
      <c r="E18" s="51">
        <v>0</v>
      </c>
      <c r="F18" s="51">
        <v>0</v>
      </c>
      <c r="G18" s="51">
        <v>0</v>
      </c>
      <c r="H18" s="24">
        <f>0.15</f>
        <v>0.15</v>
      </c>
      <c r="I18" s="18">
        <f>E18*H18</f>
        <v>0</v>
      </c>
      <c r="J18" s="18">
        <f>F18*H18</f>
        <v>0</v>
      </c>
      <c r="K18" s="18">
        <f>G18*H18</f>
        <v>0</v>
      </c>
      <c r="L18" s="2"/>
    </row>
    <row r="19" spans="2:12">
      <c r="B19" s="2"/>
      <c r="C19" s="32" t="s">
        <v>596</v>
      </c>
      <c r="D19" s="33"/>
      <c r="E19" s="51">
        <v>0</v>
      </c>
      <c r="F19" s="51">
        <v>0</v>
      </c>
      <c r="G19" s="51">
        <v>0</v>
      </c>
      <c r="H19" s="24">
        <f>0.2</f>
        <v>0.2</v>
      </c>
      <c r="I19" s="18">
        <f>E19*H19</f>
        <v>0</v>
      </c>
      <c r="J19" s="18">
        <f>F19*H19</f>
        <v>0</v>
      </c>
      <c r="K19" s="18">
        <f>G19*H19</f>
        <v>0</v>
      </c>
      <c r="L19" s="2"/>
    </row>
    <row r="20" spans="2:12">
      <c r="B20" s="2"/>
      <c r="C20" s="32" t="s">
        <v>597</v>
      </c>
      <c r="D20" s="33"/>
      <c r="E20" s="51">
        <v>0</v>
      </c>
      <c r="F20" s="51">
        <v>0</v>
      </c>
      <c r="G20" s="51">
        <v>0</v>
      </c>
      <c r="H20" s="21">
        <f>0</f>
        <v>0</v>
      </c>
      <c r="I20" s="18">
        <f>E20*H20</f>
        <v>0</v>
      </c>
      <c r="J20" s="18">
        <f>F20*H20</f>
        <v>0</v>
      </c>
      <c r="K20" s="18">
        <f>G20*H20</f>
        <v>0</v>
      </c>
      <c r="L20" s="2"/>
    </row>
    <row r="21" spans="2:12">
      <c r="B21" s="2"/>
      <c r="C21" s="32" t="s">
        <v>598</v>
      </c>
      <c r="D21" s="33"/>
      <c r="E21" s="51">
        <v>0</v>
      </c>
      <c r="F21" s="51">
        <v>0</v>
      </c>
      <c r="G21" s="51">
        <v>0</v>
      </c>
      <c r="H21" s="24">
        <f>0.2</f>
        <v>0.2</v>
      </c>
      <c r="I21" s="18">
        <f>E21*H21</f>
        <v>0</v>
      </c>
      <c r="J21" s="18">
        <f>F21*H21</f>
        <v>0</v>
      </c>
      <c r="K21" s="18">
        <f>G21*H21</f>
        <v>0</v>
      </c>
      <c r="L21" s="2"/>
    </row>
    <row r="22" spans="2:12">
      <c r="B22" s="2"/>
      <c r="C22" s="32" t="s">
        <v>599</v>
      </c>
      <c r="D22" s="33"/>
      <c r="E22" s="51">
        <v>0</v>
      </c>
      <c r="F22" s="51">
        <v>0</v>
      </c>
      <c r="G22" s="51">
        <v>0</v>
      </c>
      <c r="H22" s="24">
        <f>0.3</f>
        <v>0.3</v>
      </c>
      <c r="I22" s="18">
        <f>E22*H22</f>
        <v>0</v>
      </c>
      <c r="J22" s="18">
        <f>F22*H22</f>
        <v>0</v>
      </c>
      <c r="K22" s="18">
        <f>G22*H22</f>
        <v>0</v>
      </c>
      <c r="L22" s="2"/>
    </row>
    <row r="23" spans="2:12">
      <c r="B23" s="2"/>
      <c r="C23" s="35" t="s">
        <v>258</v>
      </c>
      <c r="D23" s="36"/>
      <c r="E23" s="18">
        <f>SUM(E24:E27)</f>
        <v>0</v>
      </c>
      <c r="F23" s="18">
        <f>SUM(F24:F27)</f>
        <v>0</v>
      </c>
      <c r="G23" s="18">
        <f>SUM(G24:G27)</f>
        <v>0</v>
      </c>
      <c r="H23" s="21">
        <f>0</f>
        <v>0</v>
      </c>
      <c r="I23" s="18">
        <f>SUM(I24:I27)</f>
        <v>0</v>
      </c>
      <c r="J23" s="18">
        <f>SUM(J24:J27)</f>
        <v>0</v>
      </c>
      <c r="K23" s="18">
        <f>SUM(K24:K27)</f>
        <v>0</v>
      </c>
      <c r="L23" s="2"/>
    </row>
    <row r="24" spans="2:12">
      <c r="B24" s="2"/>
      <c r="C24" s="32" t="s">
        <v>600</v>
      </c>
      <c r="D24" s="33"/>
      <c r="E24" s="51">
        <v>0</v>
      </c>
      <c r="F24" s="51">
        <v>0</v>
      </c>
      <c r="G24" s="51">
        <v>0</v>
      </c>
      <c r="H24" s="24">
        <f>0</f>
        <v>0</v>
      </c>
      <c r="I24" s="18">
        <f>E24*H24</f>
        <v>0</v>
      </c>
      <c r="J24" s="18">
        <f>F24*H24</f>
        <v>0</v>
      </c>
      <c r="K24" s="18">
        <f>G24*H24</f>
        <v>0</v>
      </c>
      <c r="L24" s="2"/>
    </row>
    <row r="25" spans="2:12">
      <c r="B25" s="2"/>
      <c r="C25" s="32" t="s">
        <v>601</v>
      </c>
      <c r="D25" s="33"/>
      <c r="E25" s="51">
        <v>0</v>
      </c>
      <c r="F25" s="51">
        <v>0</v>
      </c>
      <c r="G25" s="51">
        <v>0</v>
      </c>
      <c r="H25" s="24">
        <f>0.06</f>
        <v>0.06</v>
      </c>
      <c r="I25" s="18">
        <f>E25*H25</f>
        <v>0</v>
      </c>
      <c r="J25" s="18">
        <f>F25*H25</f>
        <v>0</v>
      </c>
      <c r="K25" s="18">
        <f>G25*H25</f>
        <v>0</v>
      </c>
      <c r="L25" s="2"/>
    </row>
    <row r="26" spans="2:12">
      <c r="B26" s="2"/>
      <c r="C26" s="32" t="s">
        <v>602</v>
      </c>
      <c r="D26" s="33"/>
      <c r="E26" s="51">
        <v>0</v>
      </c>
      <c r="F26" s="51">
        <v>0</v>
      </c>
      <c r="G26" s="51">
        <v>0</v>
      </c>
      <c r="H26" s="24">
        <f>0.16</f>
        <v>0.16</v>
      </c>
      <c r="I26" s="18">
        <f>E26*H26</f>
        <v>0</v>
      </c>
      <c r="J26" s="18">
        <f>F26*H26</f>
        <v>0</v>
      </c>
      <c r="K26" s="18">
        <f>G26*H26</f>
        <v>0</v>
      </c>
      <c r="L26" s="2"/>
    </row>
    <row r="27" spans="2:12">
      <c r="B27" s="2"/>
      <c r="C27" s="32" t="s">
        <v>603</v>
      </c>
      <c r="D27" s="33"/>
      <c r="E27" s="18">
        <f t="shared" ref="E27:K27" si="0">SUM(E28:E30)</f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2"/>
    </row>
    <row r="28" spans="2:12">
      <c r="B28" s="2"/>
      <c r="C28" s="55" t="s">
        <v>604</v>
      </c>
      <c r="D28" s="56"/>
      <c r="E28" s="51">
        <v>0</v>
      </c>
      <c r="F28" s="51">
        <v>0</v>
      </c>
      <c r="G28" s="51">
        <v>0</v>
      </c>
      <c r="H28" s="51">
        <v>0</v>
      </c>
      <c r="I28" s="18">
        <f>E28*H28</f>
        <v>0</v>
      </c>
      <c r="J28" s="18">
        <f>F28*H28</f>
        <v>0</v>
      </c>
      <c r="K28" s="18">
        <f>G28*H28</f>
        <v>0</v>
      </c>
      <c r="L28" s="2"/>
    </row>
    <row r="29" spans="2:12">
      <c r="B29" s="2"/>
      <c r="C29" s="55" t="s">
        <v>605</v>
      </c>
      <c r="D29" s="56"/>
      <c r="E29" s="51">
        <v>0</v>
      </c>
      <c r="F29" s="51">
        <v>0</v>
      </c>
      <c r="G29" s="51">
        <v>0</v>
      </c>
      <c r="H29" s="51">
        <v>0</v>
      </c>
      <c r="I29" s="18">
        <f>E29*H29</f>
        <v>0</v>
      </c>
      <c r="J29" s="18">
        <f>F29*H29</f>
        <v>0</v>
      </c>
      <c r="K29" s="18">
        <f>G29*H29</f>
        <v>0</v>
      </c>
      <c r="L29" s="2"/>
    </row>
    <row r="30" spans="2:12">
      <c r="B30" s="2"/>
      <c r="C30" s="55" t="s">
        <v>606</v>
      </c>
      <c r="D30" s="56"/>
      <c r="E30" s="51">
        <v>0</v>
      </c>
      <c r="F30" s="51">
        <v>0</v>
      </c>
      <c r="G30" s="51">
        <v>0</v>
      </c>
      <c r="H30" s="51">
        <v>0</v>
      </c>
      <c r="I30" s="18">
        <f>E30*H30</f>
        <v>0</v>
      </c>
      <c r="J30" s="18">
        <f>F30*H30</f>
        <v>0</v>
      </c>
      <c r="K30" s="18">
        <f>G30*H30</f>
        <v>0</v>
      </c>
      <c r="L30" s="2"/>
    </row>
    <row r="31" spans="2:12">
      <c r="B31" s="2"/>
      <c r="C31" s="35" t="s">
        <v>259</v>
      </c>
      <c r="D31" s="36"/>
      <c r="E31" s="18">
        <f>SUM(E32:E36)</f>
        <v>0</v>
      </c>
      <c r="F31" s="18">
        <f>SUM(F32:F36)</f>
        <v>0</v>
      </c>
      <c r="G31" s="18">
        <f>SUM(G32:G36)</f>
        <v>0</v>
      </c>
      <c r="H31" s="21">
        <f>0</f>
        <v>0</v>
      </c>
      <c r="I31" s="18">
        <f>SUM(I32:I36)</f>
        <v>0</v>
      </c>
      <c r="J31" s="18">
        <f>SUM(J32:J36)</f>
        <v>0</v>
      </c>
      <c r="K31" s="18">
        <f>SUM(K32:K36)</f>
        <v>0</v>
      </c>
      <c r="L31" s="2"/>
    </row>
    <row r="32" spans="2:12">
      <c r="B32" s="2"/>
      <c r="C32" s="32" t="s">
        <v>519</v>
      </c>
      <c r="D32" s="33"/>
      <c r="E32" s="51">
        <v>0</v>
      </c>
      <c r="F32" s="51">
        <v>0</v>
      </c>
      <c r="G32" s="51">
        <v>0</v>
      </c>
      <c r="H32" s="25">
        <f>0.016</f>
        <v>1.6E-2</v>
      </c>
      <c r="I32" s="18">
        <f t="shared" ref="I32:I37" si="1">E32*H32</f>
        <v>0</v>
      </c>
      <c r="J32" s="18">
        <f t="shared" ref="J32:J37" si="2">F32*H32</f>
        <v>0</v>
      </c>
      <c r="K32" s="18">
        <f t="shared" ref="K32:K37" si="3">G32*H32</f>
        <v>0</v>
      </c>
      <c r="L32" s="2"/>
    </row>
    <row r="33" spans="2:12">
      <c r="B33" s="2"/>
      <c r="C33" s="32" t="s">
        <v>520</v>
      </c>
      <c r="D33" s="33"/>
      <c r="E33" s="51">
        <v>0</v>
      </c>
      <c r="F33" s="51">
        <v>0</v>
      </c>
      <c r="G33" s="51">
        <v>0</v>
      </c>
      <c r="H33" s="25">
        <f>0.028</f>
        <v>2.8000000000000001E-2</v>
      </c>
      <c r="I33" s="18">
        <f t="shared" si="1"/>
        <v>0</v>
      </c>
      <c r="J33" s="18">
        <f t="shared" si="2"/>
        <v>0</v>
      </c>
      <c r="K33" s="18">
        <f t="shared" si="3"/>
        <v>0</v>
      </c>
      <c r="L33" s="2"/>
    </row>
    <row r="34" spans="2:12">
      <c r="B34" s="2"/>
      <c r="C34" s="32" t="s">
        <v>521</v>
      </c>
      <c r="D34" s="33"/>
      <c r="E34" s="51">
        <v>0</v>
      </c>
      <c r="F34" s="51">
        <v>0</v>
      </c>
      <c r="G34" s="51">
        <v>0</v>
      </c>
      <c r="H34" s="24">
        <f>0.04</f>
        <v>0.04</v>
      </c>
      <c r="I34" s="18">
        <f t="shared" si="1"/>
        <v>0</v>
      </c>
      <c r="J34" s="18">
        <f t="shared" si="2"/>
        <v>0</v>
      </c>
      <c r="K34" s="18">
        <f t="shared" si="3"/>
        <v>0</v>
      </c>
      <c r="L34" s="2"/>
    </row>
    <row r="35" spans="2:12">
      <c r="B35" s="2"/>
      <c r="C35" s="32" t="s">
        <v>522</v>
      </c>
      <c r="D35" s="33"/>
      <c r="E35" s="51">
        <v>0</v>
      </c>
      <c r="F35" s="51">
        <v>0</v>
      </c>
      <c r="G35" s="51">
        <v>0</v>
      </c>
      <c r="H35" s="24">
        <f>0.06</f>
        <v>0.06</v>
      </c>
      <c r="I35" s="18">
        <f t="shared" si="1"/>
        <v>0</v>
      </c>
      <c r="J35" s="18">
        <f t="shared" si="2"/>
        <v>0</v>
      </c>
      <c r="K35" s="18">
        <f t="shared" si="3"/>
        <v>0</v>
      </c>
      <c r="L35" s="2"/>
    </row>
    <row r="36" spans="2:12">
      <c r="B36" s="2"/>
      <c r="C36" s="32" t="s">
        <v>523</v>
      </c>
      <c r="D36" s="33"/>
      <c r="E36" s="51">
        <v>0</v>
      </c>
      <c r="F36" s="51">
        <v>0</v>
      </c>
      <c r="G36" s="51">
        <v>0</v>
      </c>
      <c r="H36" s="24">
        <f>0.12</f>
        <v>0.12</v>
      </c>
      <c r="I36" s="18">
        <f t="shared" si="1"/>
        <v>0</v>
      </c>
      <c r="J36" s="18">
        <f t="shared" si="2"/>
        <v>0</v>
      </c>
      <c r="K36" s="18">
        <f t="shared" si="3"/>
        <v>0</v>
      </c>
      <c r="L36" s="2"/>
    </row>
    <row r="37" spans="2:12">
      <c r="B37" s="2"/>
      <c r="C37" s="35" t="s">
        <v>607</v>
      </c>
      <c r="D37" s="36"/>
      <c r="E37" s="51">
        <v>0</v>
      </c>
      <c r="F37" s="51">
        <v>0</v>
      </c>
      <c r="G37" s="51">
        <v>0</v>
      </c>
      <c r="H37" s="24">
        <f>0.1</f>
        <v>0.1</v>
      </c>
      <c r="I37" s="18">
        <f t="shared" si="1"/>
        <v>0</v>
      </c>
      <c r="J37" s="18">
        <f t="shared" si="2"/>
        <v>0</v>
      </c>
      <c r="K37" s="18">
        <f t="shared" si="3"/>
        <v>0</v>
      </c>
      <c r="L37" s="2"/>
    </row>
    <row r="38" spans="2:12">
      <c r="B38" s="2"/>
      <c r="C38" s="35" t="s">
        <v>264</v>
      </c>
      <c r="D38" s="36"/>
      <c r="E38" s="18">
        <f>SUM(E39:E40)</f>
        <v>0</v>
      </c>
      <c r="F38" s="18">
        <f>SUM(F39:F40)</f>
        <v>0</v>
      </c>
      <c r="G38" s="18">
        <f>SUM(G39:G40)</f>
        <v>0</v>
      </c>
      <c r="H38" s="21">
        <f>0</f>
        <v>0</v>
      </c>
      <c r="I38" s="18">
        <f>SUM(I39:I40)</f>
        <v>0</v>
      </c>
      <c r="J38" s="18">
        <f>SUM(J39:J40)</f>
        <v>0</v>
      </c>
      <c r="K38" s="18">
        <f>SUM(K39:K40)</f>
        <v>0</v>
      </c>
      <c r="L38" s="2"/>
    </row>
    <row r="39" spans="2:12">
      <c r="B39" s="2"/>
      <c r="C39" s="32" t="s">
        <v>608</v>
      </c>
      <c r="D39" s="33"/>
      <c r="E39" s="51">
        <v>0</v>
      </c>
      <c r="F39" s="51">
        <v>0</v>
      </c>
      <c r="G39" s="51">
        <v>0</v>
      </c>
      <c r="H39" s="24">
        <f>0.1</f>
        <v>0.1</v>
      </c>
      <c r="I39" s="18">
        <f>E39*H39</f>
        <v>0</v>
      </c>
      <c r="J39" s="18">
        <f>F39*H39</f>
        <v>0</v>
      </c>
      <c r="K39" s="18">
        <f>G39*H39</f>
        <v>0</v>
      </c>
      <c r="L39" s="2"/>
    </row>
    <row r="40" spans="2:12">
      <c r="B40" s="2"/>
      <c r="C40" s="32" t="s">
        <v>609</v>
      </c>
      <c r="D40" s="33"/>
      <c r="E40" s="51">
        <v>0</v>
      </c>
      <c r="F40" s="51">
        <v>0</v>
      </c>
      <c r="G40" s="51">
        <v>0</v>
      </c>
      <c r="H40" s="24">
        <f>0.2</f>
        <v>0.2</v>
      </c>
      <c r="I40" s="18">
        <f>E40*H40</f>
        <v>0</v>
      </c>
      <c r="J40" s="18">
        <f>F40*H40</f>
        <v>0</v>
      </c>
      <c r="K40" s="18">
        <f>G40*H40</f>
        <v>0</v>
      </c>
      <c r="L40" s="2"/>
    </row>
    <row r="41" spans="2:12">
      <c r="B41" s="2"/>
      <c r="C41" s="35" t="s">
        <v>569</v>
      </c>
      <c r="D41" s="36"/>
      <c r="E41" s="18">
        <f>E42+E43+E44</f>
        <v>0</v>
      </c>
      <c r="F41" s="18">
        <f>F42+F43+F44</f>
        <v>0</v>
      </c>
      <c r="G41" s="18">
        <f>G42+G43+G44</f>
        <v>0</v>
      </c>
      <c r="H41" s="21">
        <f>0</f>
        <v>0</v>
      </c>
      <c r="I41" s="18">
        <f>I42+I43+I44</f>
        <v>0</v>
      </c>
      <c r="J41" s="18">
        <f>J42+J43+J44</f>
        <v>0</v>
      </c>
      <c r="K41" s="18">
        <f>K42+K43+K44</f>
        <v>0</v>
      </c>
      <c r="L41" s="2"/>
    </row>
    <row r="42" spans="2:12">
      <c r="B42" s="2"/>
      <c r="C42" s="32" t="s">
        <v>610</v>
      </c>
      <c r="D42" s="33"/>
      <c r="E42" s="51">
        <v>0</v>
      </c>
      <c r="F42" s="51">
        <v>0</v>
      </c>
      <c r="G42" s="51">
        <v>0</v>
      </c>
      <c r="H42" s="24">
        <f>0.07</f>
        <v>7.0000000000000007E-2</v>
      </c>
      <c r="I42" s="18">
        <f>E42*H42</f>
        <v>0</v>
      </c>
      <c r="J42" s="18">
        <f>F42*H42</f>
        <v>0</v>
      </c>
      <c r="K42" s="18">
        <f>G42*H42</f>
        <v>0</v>
      </c>
      <c r="L42" s="2"/>
    </row>
    <row r="43" spans="2:12">
      <c r="B43" s="2"/>
      <c r="C43" s="32" t="s">
        <v>611</v>
      </c>
      <c r="D43" s="33"/>
      <c r="E43" s="51">
        <v>0</v>
      </c>
      <c r="F43" s="51">
        <v>0</v>
      </c>
      <c r="G43" s="51">
        <v>0</v>
      </c>
      <c r="H43" s="24">
        <f>0.15</f>
        <v>0.15</v>
      </c>
      <c r="I43" s="18">
        <f>E43*H43</f>
        <v>0</v>
      </c>
      <c r="J43" s="18">
        <f>F43*H43</f>
        <v>0</v>
      </c>
      <c r="K43" s="18">
        <f>G43*H43</f>
        <v>0</v>
      </c>
      <c r="L43" s="2"/>
    </row>
    <row r="44" spans="2:12">
      <c r="B44" s="2"/>
      <c r="C44" s="32" t="s">
        <v>612</v>
      </c>
      <c r="D44" s="33"/>
      <c r="E44" s="51">
        <v>0</v>
      </c>
      <c r="F44" s="51">
        <v>0</v>
      </c>
      <c r="G44" s="51">
        <v>0</v>
      </c>
      <c r="H44" s="24">
        <f>0.4</f>
        <v>0.4</v>
      </c>
      <c r="I44" s="18">
        <f>E44*H44</f>
        <v>0</v>
      </c>
      <c r="J44" s="18">
        <f>F44*H44</f>
        <v>0</v>
      </c>
      <c r="K44" s="18">
        <f>G44*H44</f>
        <v>0</v>
      </c>
      <c r="L44" s="2"/>
    </row>
    <row r="45" spans="2:12">
      <c r="B45" s="2"/>
      <c r="C45" s="35" t="s">
        <v>613</v>
      </c>
      <c r="D45" s="36"/>
      <c r="E45" s="51">
        <v>0</v>
      </c>
      <c r="F45" s="51">
        <v>0</v>
      </c>
      <c r="G45" s="51">
        <v>0</v>
      </c>
      <c r="H45" s="24">
        <f>0.03</f>
        <v>0.03</v>
      </c>
      <c r="I45" s="18">
        <f>E45*H45</f>
        <v>0</v>
      </c>
      <c r="J45" s="18">
        <f>F45*H45</f>
        <v>0</v>
      </c>
      <c r="K45" s="18">
        <f>G45*H45</f>
        <v>0</v>
      </c>
      <c r="L45" s="2"/>
    </row>
    <row r="46" spans="2:12">
      <c r="B46" s="2"/>
      <c r="C46" s="35" t="s">
        <v>268</v>
      </c>
      <c r="D46" s="36"/>
      <c r="E46" s="51">
        <v>0</v>
      </c>
      <c r="F46" s="51">
        <v>0</v>
      </c>
      <c r="G46" s="51">
        <v>0</v>
      </c>
      <c r="H46" s="24">
        <f>0.1</f>
        <v>0.1</v>
      </c>
      <c r="I46" s="18">
        <f>E46*H46</f>
        <v>0</v>
      </c>
      <c r="J46" s="18">
        <f>F46*H46</f>
        <v>0</v>
      </c>
      <c r="K46" s="18">
        <f>G46*H46</f>
        <v>0</v>
      </c>
      <c r="L46" s="2"/>
    </row>
    <row r="47" spans="2:12">
      <c r="B47" s="2"/>
      <c r="C47" s="37" t="s">
        <v>614</v>
      </c>
      <c r="D47" s="38"/>
      <c r="E47" s="18">
        <f>E48</f>
        <v>0</v>
      </c>
      <c r="F47" s="18">
        <f>F48</f>
        <v>0</v>
      </c>
      <c r="G47" s="18">
        <f>G48</f>
        <v>0</v>
      </c>
      <c r="H47" s="21">
        <f>0</f>
        <v>0</v>
      </c>
      <c r="I47" s="18">
        <f>I48</f>
        <v>0</v>
      </c>
      <c r="J47" s="18">
        <f>J48</f>
        <v>0</v>
      </c>
      <c r="K47" s="18">
        <f>K48</f>
        <v>0</v>
      </c>
      <c r="L47" s="2"/>
    </row>
    <row r="48" spans="2:12">
      <c r="B48" s="2"/>
      <c r="C48" s="35" t="s">
        <v>429</v>
      </c>
      <c r="D48" s="36"/>
      <c r="E48" s="51">
        <v>0</v>
      </c>
      <c r="F48" s="51">
        <v>0</v>
      </c>
      <c r="G48" s="51">
        <v>0</v>
      </c>
      <c r="H48" s="24">
        <f>0.04</f>
        <v>0.04</v>
      </c>
      <c r="I48" s="18">
        <f>E48*H48</f>
        <v>0</v>
      </c>
      <c r="J48" s="18">
        <f>F48*H48</f>
        <v>0</v>
      </c>
      <c r="K48" s="18">
        <f>G48*H48</f>
        <v>0</v>
      </c>
      <c r="L48" s="2"/>
    </row>
    <row r="49" spans="2:12">
      <c r="B49" s="2"/>
      <c r="C49" s="37" t="s">
        <v>615</v>
      </c>
      <c r="D49" s="38"/>
      <c r="E49" s="18">
        <f>E16+E47</f>
        <v>0</v>
      </c>
      <c r="F49" s="18">
        <f>F16+F47</f>
        <v>0</v>
      </c>
      <c r="G49" s="18">
        <f>G16+G47</f>
        <v>0</v>
      </c>
      <c r="H49" s="21">
        <f>0</f>
        <v>0</v>
      </c>
      <c r="I49" s="18">
        <f>I16+I47</f>
        <v>0</v>
      </c>
      <c r="J49" s="18">
        <f>J16+J47</f>
        <v>0</v>
      </c>
      <c r="K49" s="18">
        <f>K16+K47</f>
        <v>0</v>
      </c>
      <c r="L49" s="2"/>
    </row>
    <row r="50" spans="2: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5.0999999999999996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 sheet="1" formatColumns="0" formatRows="0" selectLockedCells="1"/>
  <mergeCells count="128">
    <mergeCell ref="C7:K7"/>
    <mergeCell ref="C9:K9"/>
    <mergeCell ref="C10:K10"/>
    <mergeCell ref="C11:K11"/>
    <mergeCell ref="C13:K13"/>
    <mergeCell ref="H15"/>
    <mergeCell ref="H14"/>
    <mergeCell ref="I15"/>
    <mergeCell ref="J15"/>
    <mergeCell ref="I14:K14"/>
    <mergeCell ref="K15"/>
    <mergeCell ref="C14:D15"/>
    <mergeCell ref="E15"/>
    <mergeCell ref="F15"/>
    <mergeCell ref="G15"/>
    <mergeCell ref="E14:G14"/>
    <mergeCell ref="G18"/>
    <mergeCell ref="C19:D19"/>
    <mergeCell ref="E19"/>
    <mergeCell ref="F19"/>
    <mergeCell ref="G19"/>
    <mergeCell ref="C16:D16"/>
    <mergeCell ref="C17:D17"/>
    <mergeCell ref="C18:D18"/>
    <mergeCell ref="E18"/>
    <mergeCell ref="F18"/>
    <mergeCell ref="C22:D22"/>
    <mergeCell ref="E22"/>
    <mergeCell ref="F22"/>
    <mergeCell ref="G22"/>
    <mergeCell ref="C23:D23"/>
    <mergeCell ref="C20:D20"/>
    <mergeCell ref="E20"/>
    <mergeCell ref="F20"/>
    <mergeCell ref="G20"/>
    <mergeCell ref="C21:D21"/>
    <mergeCell ref="E21"/>
    <mergeCell ref="F21"/>
    <mergeCell ref="G21"/>
    <mergeCell ref="C26:D26"/>
    <mergeCell ref="E26"/>
    <mergeCell ref="F26"/>
    <mergeCell ref="G26"/>
    <mergeCell ref="C27:D27"/>
    <mergeCell ref="C24:D24"/>
    <mergeCell ref="E24"/>
    <mergeCell ref="F24"/>
    <mergeCell ref="G24"/>
    <mergeCell ref="C25:D25"/>
    <mergeCell ref="E25"/>
    <mergeCell ref="F25"/>
    <mergeCell ref="G25"/>
    <mergeCell ref="H30"/>
    <mergeCell ref="C29:D29"/>
    <mergeCell ref="E29"/>
    <mergeCell ref="F29"/>
    <mergeCell ref="G29"/>
    <mergeCell ref="H29"/>
    <mergeCell ref="C28:D28"/>
    <mergeCell ref="E28"/>
    <mergeCell ref="F28"/>
    <mergeCell ref="G28"/>
    <mergeCell ref="H28"/>
    <mergeCell ref="C31:D31"/>
    <mergeCell ref="C32:D32"/>
    <mergeCell ref="E32"/>
    <mergeCell ref="F32"/>
    <mergeCell ref="G32"/>
    <mergeCell ref="C30:D30"/>
    <mergeCell ref="E30"/>
    <mergeCell ref="F30"/>
    <mergeCell ref="G30"/>
    <mergeCell ref="C35:D35"/>
    <mergeCell ref="E35"/>
    <mergeCell ref="F35"/>
    <mergeCell ref="G35"/>
    <mergeCell ref="C36:D36"/>
    <mergeCell ref="E36"/>
    <mergeCell ref="F36"/>
    <mergeCell ref="G36"/>
    <mergeCell ref="C33:D33"/>
    <mergeCell ref="E33"/>
    <mergeCell ref="F33"/>
    <mergeCell ref="G33"/>
    <mergeCell ref="C34:D34"/>
    <mergeCell ref="E34"/>
    <mergeCell ref="F34"/>
    <mergeCell ref="G34"/>
    <mergeCell ref="C39:D39"/>
    <mergeCell ref="E39"/>
    <mergeCell ref="F39"/>
    <mergeCell ref="G39"/>
    <mergeCell ref="C40:D40"/>
    <mergeCell ref="E40"/>
    <mergeCell ref="F40"/>
    <mergeCell ref="G40"/>
    <mergeCell ref="C37:D37"/>
    <mergeCell ref="E37"/>
    <mergeCell ref="F37"/>
    <mergeCell ref="G37"/>
    <mergeCell ref="C38:D38"/>
    <mergeCell ref="C43:D43"/>
    <mergeCell ref="E43"/>
    <mergeCell ref="F43"/>
    <mergeCell ref="G43"/>
    <mergeCell ref="C44:D44"/>
    <mergeCell ref="E44"/>
    <mergeCell ref="F44"/>
    <mergeCell ref="G44"/>
    <mergeCell ref="C41:D41"/>
    <mergeCell ref="C42:D42"/>
    <mergeCell ref="E42"/>
    <mergeCell ref="F42"/>
    <mergeCell ref="G42"/>
    <mergeCell ref="C49:D49"/>
    <mergeCell ref="C47:D47"/>
    <mergeCell ref="C48:D48"/>
    <mergeCell ref="E48"/>
    <mergeCell ref="F48"/>
    <mergeCell ref="G48"/>
    <mergeCell ref="C45:D45"/>
    <mergeCell ref="E45"/>
    <mergeCell ref="F45"/>
    <mergeCell ref="G45"/>
    <mergeCell ref="C46:D46"/>
    <mergeCell ref="E46"/>
    <mergeCell ref="F46"/>
    <mergeCell ref="G46"/>
  </mergeCells>
  <dataValidations count="78"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1"/>
  <sheetViews>
    <sheetView showGridLines="0" workbookViewId="0">
      <pane xSplit="4" ySplit="15" topLeftCell="Q16" activePane="bottomRight" state="frozen"/>
      <selection pane="topRight" activeCell="E1" sqref="E1"/>
      <selection pane="bottomLeft" activeCell="A16" sqref="A16"/>
      <selection pane="bottomRight" activeCell="F34" sqref="F34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31" width="30" style="1" customWidth="1"/>
    <col min="32" max="32" width="1" style="1" customWidth="1"/>
    <col min="33" max="33" width="9.140625" style="1" customWidth="1"/>
    <col min="34" max="16384" width="9.140625" style="1"/>
  </cols>
  <sheetData>
    <row r="2" spans="2:32" ht="5.0999999999999996" customHeight="1">
      <c r="B2" s="9" t="s">
        <v>616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2"/>
    </row>
    <row r="8" spans="2:3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>
      <c r="B9" s="2"/>
      <c r="C9" s="46" t="s">
        <v>560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"/>
    </row>
    <row r="10" spans="2:32">
      <c r="B10" s="2"/>
      <c r="C10" s="46" t="s">
        <v>617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2"/>
    </row>
    <row r="11" spans="2:32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2"/>
    </row>
    <row r="12" spans="2:32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2"/>
    </row>
    <row r="14" spans="2:32">
      <c r="B14" s="2"/>
      <c r="C14" s="40" t="s">
        <v>246</v>
      </c>
      <c r="D14" s="38"/>
      <c r="E14" s="40" t="str">
        <f>"Dana Perusahaan"</f>
        <v>Dana Perusahaan</v>
      </c>
      <c r="F14" s="54"/>
      <c r="G14" s="54"/>
      <c r="H14" s="54"/>
      <c r="I14" s="54"/>
      <c r="J14" s="54"/>
      <c r="K14" s="54"/>
      <c r="L14" s="54"/>
      <c r="M14" s="38"/>
      <c r="N14" s="40" t="str">
        <f>"Dana Tabarru'"</f>
        <v>Dana Tabarru'</v>
      </c>
      <c r="O14" s="54"/>
      <c r="P14" s="54"/>
      <c r="Q14" s="54"/>
      <c r="R14" s="54"/>
      <c r="S14" s="54"/>
      <c r="T14" s="54"/>
      <c r="U14" s="54"/>
      <c r="V14" s="38"/>
      <c r="W14" s="40" t="str">
        <f>"PAYDI (digaransi)"</f>
        <v>PAYDI (digaransi)</v>
      </c>
      <c r="X14" s="54"/>
      <c r="Y14" s="54"/>
      <c r="Z14" s="54"/>
      <c r="AA14" s="54"/>
      <c r="AB14" s="54"/>
      <c r="AC14" s="54"/>
      <c r="AD14" s="54"/>
      <c r="AE14" s="38"/>
      <c r="AF14" s="2"/>
    </row>
    <row r="15" spans="2:32">
      <c r="B15" s="2"/>
      <c r="C15" s="41"/>
      <c r="D15" s="42"/>
      <c r="E15" s="43" t="str">
        <f>"USD"</f>
        <v>USD</v>
      </c>
      <c r="F15" s="43" t="str">
        <f>"JPY"</f>
        <v>JPY</v>
      </c>
      <c r="G15" s="43" t="str">
        <f>"GBP"</f>
        <v>GBP</v>
      </c>
      <c r="H15" s="43" t="str">
        <f>"AUD"</f>
        <v>AUD</v>
      </c>
      <c r="I15" s="43" t="str">
        <f>"EUR"</f>
        <v>EUR</v>
      </c>
      <c r="J15" s="43" t="str">
        <f>"SGD"</f>
        <v>SGD</v>
      </c>
      <c r="K15" s="43" t="str">
        <f>"IDR"</f>
        <v>IDR</v>
      </c>
      <c r="L15" s="43" t="str">
        <f>"Lainnya"</f>
        <v>Lainnya</v>
      </c>
      <c r="M15" s="43" t="str">
        <f>"Jumlah"</f>
        <v>Jumlah</v>
      </c>
      <c r="N15" s="43" t="str">
        <f>"USD"</f>
        <v>USD</v>
      </c>
      <c r="O15" s="43" t="str">
        <f>"JPY"</f>
        <v>JPY</v>
      </c>
      <c r="P15" s="43" t="str">
        <f>"GBP"</f>
        <v>GBP</v>
      </c>
      <c r="Q15" s="43" t="str">
        <f>"AUD"</f>
        <v>AUD</v>
      </c>
      <c r="R15" s="43" t="str">
        <f>"EUR"</f>
        <v>EUR</v>
      </c>
      <c r="S15" s="43" t="str">
        <f>"SGD"</f>
        <v>SGD</v>
      </c>
      <c r="T15" s="43" t="str">
        <f>"IDR"</f>
        <v>IDR</v>
      </c>
      <c r="U15" s="43" t="str">
        <f>"Lainnya"</f>
        <v>Lainnya</v>
      </c>
      <c r="V15" s="43" t="str">
        <f>"Jumlah"</f>
        <v>Jumlah</v>
      </c>
      <c r="W15" s="43" t="str">
        <f>"USD"</f>
        <v>USD</v>
      </c>
      <c r="X15" s="43" t="str">
        <f>"JPY"</f>
        <v>JPY</v>
      </c>
      <c r="Y15" s="43" t="str">
        <f>"GBP"</f>
        <v>GBP</v>
      </c>
      <c r="Z15" s="43" t="str">
        <f>"AUD"</f>
        <v>AUD</v>
      </c>
      <c r="AA15" s="43" t="str">
        <f>"EUR"</f>
        <v>EUR</v>
      </c>
      <c r="AB15" s="43" t="str">
        <f>"SGD"</f>
        <v>SGD</v>
      </c>
      <c r="AC15" s="43" t="str">
        <f>"IDR"</f>
        <v>IDR</v>
      </c>
      <c r="AD15" s="43" t="str">
        <f>"Lainnya"</f>
        <v>Lainnya</v>
      </c>
      <c r="AE15" s="43" t="str">
        <f>"Jumlah"</f>
        <v>Jumlah</v>
      </c>
      <c r="AF15" s="2"/>
    </row>
    <row r="16" spans="2:32">
      <c r="B16" s="2"/>
      <c r="C16" s="37" t="s">
        <v>618</v>
      </c>
      <c r="D16" s="38"/>
      <c r="E16" s="20">
        <f t="shared" ref="E16:L16" si="0">IFERROR(E17, 0)+IFERROR(E18, 0)+IFERROR(E19, 0)+IFERROR(E20, 0)+IFERROR(E21, 0)+IFERROR(E22, 0)+IFERROR(E23, 0)+IFERROR(E24, 0)+IFERROR(E25, 0)+IFERROR(E26, 0)+IFERROR(E27, 0)+IFERROR(E28, 0)+IFERROR(E29, 0)+IFERROR(E30, 0)+IFERROR(E31, 0)+IFERROR(E32, 0)+IFERROR(E33, 0)+IFERROR(E34, 0)+IFERROR(E35, 0)+IFERROR(E36, 0)+IFERROR(E37, 0)+IFERROR(E38, 0)+IFERROR(E39, 0)+IFERROR(E40, 0)+IFERROR(E41, 0)+IFERROR(E42, 0)+IFERROR(E43, 0)+IFERROR(E44, 0)+IFERROR(E45, 0)+IFERROR(E46, 0)+IFERROR(E47, 0)</f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18">
        <f t="shared" ref="M16:M30" si="1">SUM(E16:L16)</f>
        <v>0</v>
      </c>
      <c r="N16" s="20">
        <f t="shared" ref="N16:U16" si="2">IFERROR(N17, 0)+IFERROR(N18, 0)+IFERROR(N19, 0)+IFERROR(N20, 0)+IFERROR(N21, 0)+IFERROR(N22, 0)+IFERROR(N23, 0)+IFERROR(N24, 0)+IFERROR(N25, 0)+IFERROR(N26, 0)+IFERROR(N27, 0)+IFERROR(N28, 0)+IFERROR(N29, 0)+IFERROR(N30, 0)+IFERROR(N31, 0)+IFERROR(N32, 0)+IFERROR(N33, 0)+IFERROR(N34, 0)+IFERROR(N35, 0)+IFERROR(N36, 0)+IFERROR(N37, 0)+IFERROR(N38, 0)+IFERROR(N39, 0)+IFERROR(N40, 0)+IFERROR(N41, 0)+IFERROR(N42, 0)+IFERROR(N43, 0)+IFERROR(N44, 0)+IFERROR(N45, 0)+IFERROR(N46, 0)+IFERROR(N47, 0)</f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18">
        <f t="shared" ref="V16:V30" si="3">SUM(N16:U16)</f>
        <v>0</v>
      </c>
      <c r="W16" s="20">
        <f t="shared" ref="W16:AD16" si="4">IFERROR(W17, 0)+IFERROR(W18, 0)+IFERROR(W19, 0)+IFERROR(W20, 0)+IFERROR(W21, 0)+IFERROR(W22, 0)+IFERROR(W23, 0)+IFERROR(W24, 0)+IFERROR(W25, 0)+IFERROR(W26, 0)+IFERROR(W27, 0)+IFERROR(W28, 0)+IFERROR(W29, 0)+IFERROR(W30, 0)+IFERROR(W31, 0)+IFERROR(W32, 0)+IFERROR(W33, 0)+IFERROR(W34, 0)+IFERROR(W35, 0)+IFERROR(W36, 0)+IFERROR(W37, 0)+IFERROR(W38, 0)+IFERROR(W39, 0)+IFERROR(W40, 0)+IFERROR(W41, 0)+IFERROR(W42, 0)+IFERROR(W43, 0)+IFERROR(W44, 0)+IFERROR(W45, 0)+IFERROR(W46, 0)+IFERROR(W47, 0)</f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0">
        <f t="shared" si="4"/>
        <v>0</v>
      </c>
      <c r="AE16" s="18">
        <f t="shared" ref="AE16:AE30" si="5">SUM(W16:AD16)</f>
        <v>0</v>
      </c>
      <c r="AF16" s="2"/>
    </row>
    <row r="17" spans="2:32">
      <c r="B17" s="2"/>
      <c r="C17" s="35" t="s">
        <v>249</v>
      </c>
      <c r="D17" s="36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18">
        <f t="shared" si="1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18">
        <f t="shared" si="3"/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18">
        <f t="shared" si="5"/>
        <v>0</v>
      </c>
      <c r="AF17" s="2"/>
    </row>
    <row r="18" spans="2:32">
      <c r="B18" s="2"/>
      <c r="C18" s="35" t="s">
        <v>250</v>
      </c>
      <c r="D18" s="36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18">
        <f t="shared" si="1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18">
        <f t="shared" si="3"/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18">
        <f t="shared" si="5"/>
        <v>0</v>
      </c>
      <c r="AF18" s="2"/>
    </row>
    <row r="19" spans="2:32">
      <c r="B19" s="2"/>
      <c r="C19" s="35" t="s">
        <v>251</v>
      </c>
      <c r="D19" s="36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18">
        <f t="shared" si="1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18">
        <f t="shared" si="3"/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18">
        <f t="shared" si="5"/>
        <v>0</v>
      </c>
      <c r="AF19" s="2"/>
    </row>
    <row r="20" spans="2:32">
      <c r="B20" s="2"/>
      <c r="C20" s="35" t="s">
        <v>252</v>
      </c>
      <c r="D20" s="36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18">
        <f t="shared" si="1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18">
        <f t="shared" si="3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18">
        <f t="shared" si="5"/>
        <v>0</v>
      </c>
      <c r="AF20" s="2"/>
    </row>
    <row r="21" spans="2:32">
      <c r="B21" s="2"/>
      <c r="C21" s="35" t="s">
        <v>253</v>
      </c>
      <c r="D21" s="36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18">
        <f t="shared" si="1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18">
        <f t="shared" si="3"/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18">
        <f t="shared" si="5"/>
        <v>0</v>
      </c>
      <c r="AF21" s="2"/>
    </row>
    <row r="22" spans="2:32">
      <c r="B22" s="2"/>
      <c r="C22" s="35" t="s">
        <v>254</v>
      </c>
      <c r="D22" s="36"/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18">
        <f t="shared" si="1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18">
        <f t="shared" si="3"/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18">
        <f t="shared" si="5"/>
        <v>0</v>
      </c>
      <c r="AF22" s="2"/>
    </row>
    <row r="23" spans="2:32">
      <c r="B23" s="2"/>
      <c r="C23" s="35" t="s">
        <v>255</v>
      </c>
      <c r="D23" s="36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18">
        <f t="shared" si="1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18">
        <f t="shared" si="3"/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18">
        <f t="shared" si="5"/>
        <v>0</v>
      </c>
      <c r="AF23" s="2"/>
    </row>
    <row r="24" spans="2:32">
      <c r="B24" s="2"/>
      <c r="C24" s="35" t="s">
        <v>256</v>
      </c>
      <c r="D24" s="36"/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18">
        <f t="shared" si="1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18">
        <f t="shared" si="3"/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18">
        <f t="shared" si="5"/>
        <v>0</v>
      </c>
      <c r="AF24" s="2"/>
    </row>
    <row r="25" spans="2:32">
      <c r="B25" s="2"/>
      <c r="C25" s="35" t="s">
        <v>257</v>
      </c>
      <c r="D25" s="36"/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18">
        <f t="shared" si="1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18">
        <f t="shared" si="3"/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18">
        <f t="shared" si="5"/>
        <v>0</v>
      </c>
      <c r="AF25" s="2"/>
    </row>
    <row r="26" spans="2:32">
      <c r="B26" s="2"/>
      <c r="C26" s="35" t="s">
        <v>258</v>
      </c>
      <c r="D26" s="36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18">
        <f t="shared" si="1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18">
        <f t="shared" si="3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18">
        <f t="shared" si="5"/>
        <v>0</v>
      </c>
      <c r="AF26" s="2"/>
    </row>
    <row r="27" spans="2:32">
      <c r="B27" s="2"/>
      <c r="C27" s="35" t="s">
        <v>259</v>
      </c>
      <c r="D27" s="36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18">
        <f t="shared" si="1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18">
        <f t="shared" si="3"/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18">
        <f t="shared" si="5"/>
        <v>0</v>
      </c>
      <c r="AF27" s="2"/>
    </row>
    <row r="28" spans="2:32">
      <c r="B28" s="2"/>
      <c r="C28" s="35" t="s">
        <v>260</v>
      </c>
      <c r="D28" s="36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18">
        <f t="shared" si="1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18">
        <f t="shared" si="3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18">
        <f t="shared" si="5"/>
        <v>0</v>
      </c>
      <c r="AF28" s="2"/>
    </row>
    <row r="29" spans="2:32">
      <c r="B29" s="2"/>
      <c r="C29" s="35" t="s">
        <v>261</v>
      </c>
      <c r="D29" s="36"/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18">
        <f t="shared" si="1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18">
        <f t="shared" si="3"/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18">
        <f t="shared" si="5"/>
        <v>0</v>
      </c>
      <c r="AF29" s="2"/>
    </row>
    <row r="30" spans="2:32">
      <c r="B30" s="2"/>
      <c r="C30" s="35" t="s">
        <v>262</v>
      </c>
      <c r="D30" s="36"/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18">
        <f t="shared" si="1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18">
        <f t="shared" si="3"/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18">
        <f t="shared" si="5"/>
        <v>0</v>
      </c>
      <c r="AF30" s="2"/>
    </row>
    <row r="31" spans="2:32">
      <c r="B31" s="2"/>
      <c r="C31" s="35" t="s">
        <v>263</v>
      </c>
      <c r="D31" s="36"/>
      <c r="E31" s="51">
        <v>0</v>
      </c>
      <c r="F31" s="51">
        <v>0</v>
      </c>
      <c r="G31" s="18">
        <f>0</f>
        <v>0</v>
      </c>
      <c r="H31" s="18">
        <f>0</f>
        <v>0</v>
      </c>
      <c r="I31" s="18">
        <f>0</f>
        <v>0</v>
      </c>
      <c r="J31" s="18">
        <f>0</f>
        <v>0</v>
      </c>
      <c r="K31" s="51">
        <v>0</v>
      </c>
      <c r="L31" s="51">
        <v>0</v>
      </c>
      <c r="M31" s="18">
        <f>0</f>
        <v>0</v>
      </c>
      <c r="N31" s="18">
        <f>0</f>
        <v>0</v>
      </c>
      <c r="O31" s="18">
        <f>0</f>
        <v>0</v>
      </c>
      <c r="P31" s="21">
        <f>0</f>
        <v>0</v>
      </c>
      <c r="Q31" s="21">
        <f>0</f>
        <v>0</v>
      </c>
      <c r="R31" s="21">
        <f>0</f>
        <v>0</v>
      </c>
      <c r="S31" s="21">
        <f>0</f>
        <v>0</v>
      </c>
      <c r="T31" s="18">
        <f>0</f>
        <v>0</v>
      </c>
      <c r="U31" s="18">
        <f>0</f>
        <v>0</v>
      </c>
      <c r="V31" s="18">
        <f>0</f>
        <v>0</v>
      </c>
      <c r="W31" s="18">
        <f>0</f>
        <v>0</v>
      </c>
      <c r="X31" s="18">
        <f>0</f>
        <v>0</v>
      </c>
      <c r="Y31" s="21">
        <f>0</f>
        <v>0</v>
      </c>
      <c r="Z31" s="21">
        <f>0</f>
        <v>0</v>
      </c>
      <c r="AA31" s="21">
        <f>0</f>
        <v>0</v>
      </c>
      <c r="AB31" s="21">
        <f>0</f>
        <v>0</v>
      </c>
      <c r="AC31" s="18">
        <f>0</f>
        <v>0</v>
      </c>
      <c r="AD31" s="18">
        <f>0</f>
        <v>0</v>
      </c>
      <c r="AE31" s="18">
        <f>0</f>
        <v>0</v>
      </c>
      <c r="AF31" s="2"/>
    </row>
    <row r="32" spans="2:32">
      <c r="B32" s="2"/>
      <c r="C32" s="35" t="s">
        <v>264</v>
      </c>
      <c r="D32" s="36"/>
      <c r="E32" s="51">
        <v>0</v>
      </c>
      <c r="F32" s="51">
        <v>0</v>
      </c>
      <c r="G32" s="18">
        <f>0</f>
        <v>0</v>
      </c>
      <c r="H32" s="18">
        <f>0</f>
        <v>0</v>
      </c>
      <c r="I32" s="18">
        <f>0</f>
        <v>0</v>
      </c>
      <c r="J32" s="18">
        <f>0</f>
        <v>0</v>
      </c>
      <c r="K32" s="51">
        <v>0</v>
      </c>
      <c r="L32" s="51">
        <v>0</v>
      </c>
      <c r="M32" s="18">
        <f>0</f>
        <v>0</v>
      </c>
      <c r="N32" s="18">
        <f>0</f>
        <v>0</v>
      </c>
      <c r="O32" s="18">
        <f>0</f>
        <v>0</v>
      </c>
      <c r="P32" s="21">
        <f>0</f>
        <v>0</v>
      </c>
      <c r="Q32" s="21">
        <f>0</f>
        <v>0</v>
      </c>
      <c r="R32" s="21">
        <f>0</f>
        <v>0</v>
      </c>
      <c r="S32" s="21">
        <f>0</f>
        <v>0</v>
      </c>
      <c r="T32" s="18">
        <f>0</f>
        <v>0</v>
      </c>
      <c r="U32" s="18">
        <f>0</f>
        <v>0</v>
      </c>
      <c r="V32" s="18">
        <f>0</f>
        <v>0</v>
      </c>
      <c r="W32" s="18">
        <f>0</f>
        <v>0</v>
      </c>
      <c r="X32" s="18">
        <f>0</f>
        <v>0</v>
      </c>
      <c r="Y32" s="21">
        <f>0</f>
        <v>0</v>
      </c>
      <c r="Z32" s="21">
        <f>0</f>
        <v>0</v>
      </c>
      <c r="AA32" s="21">
        <f>0</f>
        <v>0</v>
      </c>
      <c r="AB32" s="21">
        <f>0</f>
        <v>0</v>
      </c>
      <c r="AC32" s="18">
        <f>0</f>
        <v>0</v>
      </c>
      <c r="AD32" s="18">
        <f>0</f>
        <v>0</v>
      </c>
      <c r="AE32" s="18">
        <f>0</f>
        <v>0</v>
      </c>
      <c r="AF32" s="2"/>
    </row>
    <row r="33" spans="2:32">
      <c r="B33" s="2"/>
      <c r="C33" s="35" t="s">
        <v>265</v>
      </c>
      <c r="D33" s="36"/>
      <c r="E33" s="51">
        <v>0</v>
      </c>
      <c r="F33" s="51">
        <v>0</v>
      </c>
      <c r="G33" s="18">
        <f>0</f>
        <v>0</v>
      </c>
      <c r="H33" s="18">
        <f>0</f>
        <v>0</v>
      </c>
      <c r="I33" s="18">
        <f>0</f>
        <v>0</v>
      </c>
      <c r="J33" s="18">
        <f>0</f>
        <v>0</v>
      </c>
      <c r="K33" s="51">
        <v>0</v>
      </c>
      <c r="L33" s="51">
        <v>0</v>
      </c>
      <c r="M33" s="18">
        <f>0</f>
        <v>0</v>
      </c>
      <c r="N33" s="18">
        <f>0</f>
        <v>0</v>
      </c>
      <c r="O33" s="18">
        <f>0</f>
        <v>0</v>
      </c>
      <c r="P33" s="21">
        <f>0</f>
        <v>0</v>
      </c>
      <c r="Q33" s="21">
        <f>0</f>
        <v>0</v>
      </c>
      <c r="R33" s="21">
        <f>0</f>
        <v>0</v>
      </c>
      <c r="S33" s="21">
        <f>0</f>
        <v>0</v>
      </c>
      <c r="T33" s="18">
        <f>0</f>
        <v>0</v>
      </c>
      <c r="U33" s="18">
        <f>0</f>
        <v>0</v>
      </c>
      <c r="V33" s="18">
        <f>0</f>
        <v>0</v>
      </c>
      <c r="W33" s="18">
        <f>0</f>
        <v>0</v>
      </c>
      <c r="X33" s="18">
        <f>0</f>
        <v>0</v>
      </c>
      <c r="Y33" s="21">
        <f>0</f>
        <v>0</v>
      </c>
      <c r="Z33" s="21">
        <f>0</f>
        <v>0</v>
      </c>
      <c r="AA33" s="21">
        <f>0</f>
        <v>0</v>
      </c>
      <c r="AB33" s="21">
        <f>0</f>
        <v>0</v>
      </c>
      <c r="AC33" s="18">
        <f>0</f>
        <v>0</v>
      </c>
      <c r="AD33" s="18">
        <f>0</f>
        <v>0</v>
      </c>
      <c r="AE33" s="18">
        <f>0</f>
        <v>0</v>
      </c>
      <c r="AF33" s="2"/>
    </row>
    <row r="34" spans="2:32">
      <c r="B34" s="2"/>
      <c r="C34" s="35" t="s">
        <v>266</v>
      </c>
      <c r="D34" s="36"/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18">
        <f t="shared" ref="M34:M45" si="6">SUM(E34:L34)</f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18">
        <f t="shared" ref="V34:V45" si="7">SUM(N34:U34)</f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18">
        <f t="shared" ref="AE34:AE45" si="8">SUM(W34:AD34)</f>
        <v>0</v>
      </c>
      <c r="AF34" s="2"/>
    </row>
    <row r="35" spans="2:32">
      <c r="B35" s="2"/>
      <c r="C35" s="35" t="s">
        <v>267</v>
      </c>
      <c r="D35" s="36"/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18">
        <f t="shared" si="6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18">
        <f t="shared" si="7"/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18">
        <f t="shared" si="8"/>
        <v>0</v>
      </c>
      <c r="AF35" s="2"/>
    </row>
    <row r="36" spans="2:32">
      <c r="B36" s="2"/>
      <c r="C36" s="35" t="s">
        <v>268</v>
      </c>
      <c r="D36" s="36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18">
        <f t="shared" si="6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18">
        <f t="shared" si="7"/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18">
        <f t="shared" si="8"/>
        <v>0</v>
      </c>
      <c r="AF36" s="2"/>
    </row>
    <row r="37" spans="2:32">
      <c r="B37" s="2"/>
      <c r="C37" s="35" t="s">
        <v>269</v>
      </c>
      <c r="D37" s="36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18">
        <f t="shared" si="6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18">
        <f t="shared" si="7"/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18">
        <f t="shared" si="8"/>
        <v>0</v>
      </c>
      <c r="AF37" s="2"/>
    </row>
    <row r="38" spans="2:32">
      <c r="B38" s="2"/>
      <c r="C38" s="35" t="s">
        <v>271</v>
      </c>
      <c r="D38" s="36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18">
        <f t="shared" si="6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18">
        <f t="shared" si="7"/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18">
        <f t="shared" si="8"/>
        <v>0</v>
      </c>
      <c r="AF38" s="2"/>
    </row>
    <row r="39" spans="2:32">
      <c r="B39" s="2"/>
      <c r="C39" s="35" t="s">
        <v>540</v>
      </c>
      <c r="D39" s="36"/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18">
        <f t="shared" si="6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18">
        <f t="shared" si="7"/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18">
        <f t="shared" si="8"/>
        <v>0</v>
      </c>
      <c r="AF39" s="2"/>
    </row>
    <row r="40" spans="2:32">
      <c r="B40" s="2"/>
      <c r="C40" s="35" t="s">
        <v>546</v>
      </c>
      <c r="D40" s="36"/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18">
        <f t="shared" si="6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18">
        <f t="shared" si="7"/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18">
        <f t="shared" si="8"/>
        <v>0</v>
      </c>
      <c r="AF40" s="2"/>
    </row>
    <row r="41" spans="2:32">
      <c r="B41" s="2"/>
      <c r="C41" s="35" t="s">
        <v>273</v>
      </c>
      <c r="D41" s="36"/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18">
        <f t="shared" si="6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18">
        <f t="shared" si="7"/>
        <v>0</v>
      </c>
      <c r="W41" s="21">
        <f>0</f>
        <v>0</v>
      </c>
      <c r="X41" s="21">
        <f>0</f>
        <v>0</v>
      </c>
      <c r="Y41" s="21">
        <f>0</f>
        <v>0</v>
      </c>
      <c r="Z41" s="21">
        <f>0</f>
        <v>0</v>
      </c>
      <c r="AA41" s="21">
        <f>0</f>
        <v>0</v>
      </c>
      <c r="AB41" s="21">
        <f>0</f>
        <v>0</v>
      </c>
      <c r="AC41" s="21">
        <f>0</f>
        <v>0</v>
      </c>
      <c r="AD41" s="21">
        <f>0</f>
        <v>0</v>
      </c>
      <c r="AE41" s="18">
        <f t="shared" si="8"/>
        <v>0</v>
      </c>
      <c r="AF41" s="2"/>
    </row>
    <row r="42" spans="2:32">
      <c r="B42" s="2"/>
      <c r="C42" s="35" t="s">
        <v>543</v>
      </c>
      <c r="D42" s="36"/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18">
        <f t="shared" si="6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18">
        <f t="shared" si="7"/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18">
        <f t="shared" si="8"/>
        <v>0</v>
      </c>
      <c r="AF42" s="2"/>
    </row>
    <row r="43" spans="2:32">
      <c r="B43" s="2"/>
      <c r="C43" s="35" t="s">
        <v>619</v>
      </c>
      <c r="D43" s="36"/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18">
        <f t="shared" si="6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18">
        <f t="shared" si="7"/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18">
        <f t="shared" si="8"/>
        <v>0</v>
      </c>
      <c r="AF43" s="2"/>
    </row>
    <row r="44" spans="2:32">
      <c r="B44" s="2"/>
      <c r="C44" s="35" t="s">
        <v>427</v>
      </c>
      <c r="D44" s="36"/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18">
        <f t="shared" si="6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18">
        <f t="shared" si="7"/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18">
        <f t="shared" si="8"/>
        <v>0</v>
      </c>
      <c r="AF44" s="2"/>
    </row>
    <row r="45" spans="2:32">
      <c r="B45" s="2"/>
      <c r="C45" s="35" t="s">
        <v>426</v>
      </c>
      <c r="D45" s="36"/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18">
        <f t="shared" si="6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18">
        <f t="shared" si="7"/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18">
        <f t="shared" si="8"/>
        <v>0</v>
      </c>
      <c r="AF45" s="2"/>
    </row>
    <row r="46" spans="2:32">
      <c r="B46" s="2"/>
      <c r="C46" s="35" t="s">
        <v>429</v>
      </c>
      <c r="D46" s="36"/>
      <c r="E46" s="51">
        <v>0</v>
      </c>
      <c r="F46" s="51">
        <v>0</v>
      </c>
      <c r="G46" s="18">
        <f>0</f>
        <v>0</v>
      </c>
      <c r="H46" s="18">
        <f>0</f>
        <v>0</v>
      </c>
      <c r="I46" s="18">
        <f>0</f>
        <v>0</v>
      </c>
      <c r="J46" s="18">
        <f>0</f>
        <v>0</v>
      </c>
      <c r="K46" s="51">
        <v>0</v>
      </c>
      <c r="L46" s="51">
        <v>0</v>
      </c>
      <c r="M46" s="18">
        <f>0</f>
        <v>0</v>
      </c>
      <c r="N46" s="18">
        <f>0</f>
        <v>0</v>
      </c>
      <c r="O46" s="18">
        <f>0</f>
        <v>0</v>
      </c>
      <c r="P46" s="21">
        <f>0</f>
        <v>0</v>
      </c>
      <c r="Q46" s="21">
        <f>0</f>
        <v>0</v>
      </c>
      <c r="R46" s="21">
        <f>0</f>
        <v>0</v>
      </c>
      <c r="S46" s="21">
        <f>0</f>
        <v>0</v>
      </c>
      <c r="T46" s="18">
        <f>0</f>
        <v>0</v>
      </c>
      <c r="U46" s="18">
        <f>0</f>
        <v>0</v>
      </c>
      <c r="V46" s="18">
        <f>0</f>
        <v>0</v>
      </c>
      <c r="W46" s="18">
        <f>0</f>
        <v>0</v>
      </c>
      <c r="X46" s="18">
        <f>0</f>
        <v>0</v>
      </c>
      <c r="Y46" s="21">
        <f>0</f>
        <v>0</v>
      </c>
      <c r="Z46" s="21">
        <f>0</f>
        <v>0</v>
      </c>
      <c r="AA46" s="21">
        <f>0</f>
        <v>0</v>
      </c>
      <c r="AB46" s="21">
        <f>0</f>
        <v>0</v>
      </c>
      <c r="AC46" s="18">
        <f>0</f>
        <v>0</v>
      </c>
      <c r="AD46" s="18">
        <f>0</f>
        <v>0</v>
      </c>
      <c r="AE46" s="18">
        <f>0</f>
        <v>0</v>
      </c>
      <c r="AF46" s="2"/>
    </row>
    <row r="47" spans="2:32">
      <c r="B47" s="2"/>
      <c r="C47" s="35" t="s">
        <v>573</v>
      </c>
      <c r="D47" s="36"/>
      <c r="E47" s="51">
        <v>0</v>
      </c>
      <c r="F47" s="51">
        <v>0</v>
      </c>
      <c r="G47" s="18">
        <f>0</f>
        <v>0</v>
      </c>
      <c r="H47" s="18">
        <f>0</f>
        <v>0</v>
      </c>
      <c r="I47" s="18">
        <f>0</f>
        <v>0</v>
      </c>
      <c r="J47" s="18">
        <f>0</f>
        <v>0</v>
      </c>
      <c r="K47" s="51">
        <v>0</v>
      </c>
      <c r="L47" s="51">
        <v>0</v>
      </c>
      <c r="M47" s="18">
        <f>0</f>
        <v>0</v>
      </c>
      <c r="N47" s="18">
        <f>0</f>
        <v>0</v>
      </c>
      <c r="O47" s="18">
        <f>0</f>
        <v>0</v>
      </c>
      <c r="P47" s="21">
        <f>0</f>
        <v>0</v>
      </c>
      <c r="Q47" s="21">
        <f>0</f>
        <v>0</v>
      </c>
      <c r="R47" s="21">
        <f>0</f>
        <v>0</v>
      </c>
      <c r="S47" s="21">
        <f>0</f>
        <v>0</v>
      </c>
      <c r="T47" s="18">
        <f>0</f>
        <v>0</v>
      </c>
      <c r="U47" s="18">
        <f>0</f>
        <v>0</v>
      </c>
      <c r="V47" s="18">
        <f>0</f>
        <v>0</v>
      </c>
      <c r="W47" s="18">
        <f>0</f>
        <v>0</v>
      </c>
      <c r="X47" s="18">
        <f>0</f>
        <v>0</v>
      </c>
      <c r="Y47" s="21">
        <f>0</f>
        <v>0</v>
      </c>
      <c r="Z47" s="21">
        <f>0</f>
        <v>0</v>
      </c>
      <c r="AA47" s="21">
        <f>0</f>
        <v>0</v>
      </c>
      <c r="AB47" s="21">
        <f>0</f>
        <v>0</v>
      </c>
      <c r="AC47" s="18">
        <f>0</f>
        <v>0</v>
      </c>
      <c r="AD47" s="18">
        <f>0</f>
        <v>0</v>
      </c>
      <c r="AE47" s="18">
        <f>0</f>
        <v>0</v>
      </c>
      <c r="AF47" s="2"/>
    </row>
    <row r="48" spans="2:32">
      <c r="B48" s="2"/>
      <c r="C48" s="37" t="s">
        <v>620</v>
      </c>
      <c r="D48" s="38"/>
      <c r="E48" s="18">
        <f t="shared" ref="E48:AE48" si="9">SUM(E17:E47)</f>
        <v>0</v>
      </c>
      <c r="F48" s="18">
        <f t="shared" si="9"/>
        <v>0</v>
      </c>
      <c r="G48" s="18">
        <f t="shared" si="9"/>
        <v>0</v>
      </c>
      <c r="H48" s="18">
        <f t="shared" si="9"/>
        <v>0</v>
      </c>
      <c r="I48" s="18">
        <f t="shared" si="9"/>
        <v>0</v>
      </c>
      <c r="J48" s="18">
        <f t="shared" si="9"/>
        <v>0</v>
      </c>
      <c r="K48" s="18">
        <f t="shared" si="9"/>
        <v>0</v>
      </c>
      <c r="L48" s="18">
        <f t="shared" si="9"/>
        <v>0</v>
      </c>
      <c r="M48" s="18">
        <f t="shared" si="9"/>
        <v>0</v>
      </c>
      <c r="N48" s="18">
        <f t="shared" si="9"/>
        <v>0</v>
      </c>
      <c r="O48" s="18">
        <f t="shared" si="9"/>
        <v>0</v>
      </c>
      <c r="P48" s="18">
        <f t="shared" si="9"/>
        <v>0</v>
      </c>
      <c r="Q48" s="18">
        <f t="shared" si="9"/>
        <v>0</v>
      </c>
      <c r="R48" s="18">
        <f t="shared" si="9"/>
        <v>0</v>
      </c>
      <c r="S48" s="18">
        <f t="shared" si="9"/>
        <v>0</v>
      </c>
      <c r="T48" s="18">
        <f t="shared" si="9"/>
        <v>0</v>
      </c>
      <c r="U48" s="18">
        <f t="shared" si="9"/>
        <v>0</v>
      </c>
      <c r="V48" s="18">
        <f t="shared" si="9"/>
        <v>0</v>
      </c>
      <c r="W48" s="18">
        <f t="shared" si="9"/>
        <v>0</v>
      </c>
      <c r="X48" s="18">
        <f t="shared" si="9"/>
        <v>0</v>
      </c>
      <c r="Y48" s="18">
        <f t="shared" si="9"/>
        <v>0</v>
      </c>
      <c r="Z48" s="18">
        <f t="shared" si="9"/>
        <v>0</v>
      </c>
      <c r="AA48" s="18">
        <f t="shared" si="9"/>
        <v>0</v>
      </c>
      <c r="AB48" s="18">
        <f t="shared" si="9"/>
        <v>0</v>
      </c>
      <c r="AC48" s="18">
        <f t="shared" si="9"/>
        <v>0</v>
      </c>
      <c r="AD48" s="18">
        <f t="shared" si="9"/>
        <v>0</v>
      </c>
      <c r="AE48" s="18">
        <f t="shared" si="9"/>
        <v>0</v>
      </c>
      <c r="AF48" s="2"/>
    </row>
    <row r="49" spans="2:32">
      <c r="B49" s="2"/>
      <c r="C49" s="37" t="s">
        <v>278</v>
      </c>
      <c r="D49" s="38"/>
      <c r="E49" s="20">
        <f t="shared" ref="E49:L49" si="10">IFERROR(E50, 0)+IFERROR(E51, 0)+IFERROR(E52, 0)+IFERROR(E53, 0)+IFERROR(E54, 0)+IFERROR(E55, 0)+IFERROR(E56, 0)+IFERROR(E57, 0)+IFERROR(E58, 0)+IFERROR(E59, 0)+IFERROR(E60, 0)+IFERROR(E61, 0)+IFERROR(E62, 0)</f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18">
        <f>SUM(E49:L49)</f>
        <v>0</v>
      </c>
      <c r="N49" s="20">
        <f t="shared" ref="N49:U49" si="11">IFERROR(N50, 0)+IFERROR(N51, 0)+IFERROR(N52, 0)+IFERROR(N53, 0)+IFERROR(N54, 0)+IFERROR(N55, 0)+IFERROR(N56, 0)+IFERROR(N57, 0)+IFERROR(N58, 0)+IFERROR(N59, 0)+IFERROR(N60, 0)+IFERROR(N61, 0)+IFERROR(N62, 0)</f>
        <v>0</v>
      </c>
      <c r="O49" s="20">
        <f t="shared" si="11"/>
        <v>0</v>
      </c>
      <c r="P49" s="20">
        <f t="shared" si="11"/>
        <v>0</v>
      </c>
      <c r="Q49" s="20">
        <f t="shared" si="11"/>
        <v>0</v>
      </c>
      <c r="R49" s="20">
        <f t="shared" si="11"/>
        <v>0</v>
      </c>
      <c r="S49" s="20">
        <f t="shared" si="11"/>
        <v>0</v>
      </c>
      <c r="T49" s="20">
        <f t="shared" si="11"/>
        <v>0</v>
      </c>
      <c r="U49" s="20">
        <f t="shared" si="11"/>
        <v>0</v>
      </c>
      <c r="V49" s="18">
        <f>SUM(N49:U49)</f>
        <v>0</v>
      </c>
      <c r="W49" s="20">
        <f t="shared" ref="W49:AD49" si="12">IFERROR(W50, 0)+IFERROR(W51, 0)+IFERROR(W52, 0)+IFERROR(W53, 0)+IFERROR(W54, 0)+IFERROR(W55, 0)+IFERROR(W56, 0)+IFERROR(W57, 0)+IFERROR(W58, 0)+IFERROR(W59, 0)+IFERROR(W60, 0)+IFERROR(W61, 0)+IFERROR(W62, 0)</f>
        <v>0</v>
      </c>
      <c r="X49" s="20">
        <f t="shared" si="12"/>
        <v>0</v>
      </c>
      <c r="Y49" s="20">
        <f t="shared" si="12"/>
        <v>0</v>
      </c>
      <c r="Z49" s="20">
        <f t="shared" si="12"/>
        <v>0</v>
      </c>
      <c r="AA49" s="20">
        <f t="shared" si="12"/>
        <v>0</v>
      </c>
      <c r="AB49" s="20">
        <f t="shared" si="12"/>
        <v>0</v>
      </c>
      <c r="AC49" s="20">
        <f t="shared" si="12"/>
        <v>0</v>
      </c>
      <c r="AD49" s="20">
        <f t="shared" si="12"/>
        <v>0</v>
      </c>
      <c r="AE49" s="18">
        <f>SUM(W49:AD49)</f>
        <v>0</v>
      </c>
      <c r="AF49" s="2"/>
    </row>
    <row r="50" spans="2:32">
      <c r="B50" s="2"/>
      <c r="C50" s="35" t="s">
        <v>621</v>
      </c>
      <c r="D50" s="36"/>
      <c r="E50" s="18">
        <f>0</f>
        <v>0</v>
      </c>
      <c r="F50" s="18">
        <f>0</f>
        <v>0</v>
      </c>
      <c r="G50" s="21">
        <f>0</f>
        <v>0</v>
      </c>
      <c r="H50" s="21">
        <f>0</f>
        <v>0</v>
      </c>
      <c r="I50" s="21">
        <f>0</f>
        <v>0</v>
      </c>
      <c r="J50" s="21">
        <f>0</f>
        <v>0</v>
      </c>
      <c r="K50" s="18">
        <f>0</f>
        <v>0</v>
      </c>
      <c r="L50" s="18">
        <f>0</f>
        <v>0</v>
      </c>
      <c r="M50" s="18">
        <f>0</f>
        <v>0</v>
      </c>
      <c r="N50" s="51">
        <v>0</v>
      </c>
      <c r="O50" s="51">
        <v>0</v>
      </c>
      <c r="P50" s="18">
        <f>0</f>
        <v>0</v>
      </c>
      <c r="Q50" s="18">
        <f>0</f>
        <v>0</v>
      </c>
      <c r="R50" s="18">
        <f>0</f>
        <v>0</v>
      </c>
      <c r="S50" s="18">
        <f>0</f>
        <v>0</v>
      </c>
      <c r="T50" s="51">
        <v>0</v>
      </c>
      <c r="U50" s="51">
        <v>0</v>
      </c>
      <c r="V50" s="18">
        <f>0</f>
        <v>0</v>
      </c>
      <c r="W50" s="18">
        <f>0</f>
        <v>0</v>
      </c>
      <c r="X50" s="18">
        <f>0</f>
        <v>0</v>
      </c>
      <c r="Y50" s="21">
        <f>0</f>
        <v>0</v>
      </c>
      <c r="Z50" s="21">
        <f>0</f>
        <v>0</v>
      </c>
      <c r="AA50" s="21">
        <f>0</f>
        <v>0</v>
      </c>
      <c r="AB50" s="21">
        <f>0</f>
        <v>0</v>
      </c>
      <c r="AC50" s="18">
        <f>0</f>
        <v>0</v>
      </c>
      <c r="AD50" s="18">
        <f>0</f>
        <v>0</v>
      </c>
      <c r="AE50" s="18">
        <f>0</f>
        <v>0</v>
      </c>
      <c r="AF50" s="2"/>
    </row>
    <row r="51" spans="2:32">
      <c r="B51" s="2"/>
      <c r="C51" s="35" t="s">
        <v>577</v>
      </c>
      <c r="D51" s="36"/>
      <c r="E51" s="18">
        <f>0</f>
        <v>0</v>
      </c>
      <c r="F51" s="18">
        <f>0</f>
        <v>0</v>
      </c>
      <c r="G51" s="21">
        <f>0</f>
        <v>0</v>
      </c>
      <c r="H51" s="21">
        <f>0</f>
        <v>0</v>
      </c>
      <c r="I51" s="21">
        <f>0</f>
        <v>0</v>
      </c>
      <c r="J51" s="21">
        <f>0</f>
        <v>0</v>
      </c>
      <c r="K51" s="18">
        <f>0</f>
        <v>0</v>
      </c>
      <c r="L51" s="18">
        <f>0</f>
        <v>0</v>
      </c>
      <c r="M51" s="18">
        <f>0</f>
        <v>0</v>
      </c>
      <c r="N51" s="51">
        <v>0</v>
      </c>
      <c r="O51" s="51">
        <v>0</v>
      </c>
      <c r="P51" s="18">
        <f>0</f>
        <v>0</v>
      </c>
      <c r="Q51" s="18">
        <f>0</f>
        <v>0</v>
      </c>
      <c r="R51" s="18">
        <f>0</f>
        <v>0</v>
      </c>
      <c r="S51" s="18">
        <f>0</f>
        <v>0</v>
      </c>
      <c r="T51" s="51">
        <v>0</v>
      </c>
      <c r="U51" s="51">
        <v>0</v>
      </c>
      <c r="V51" s="18">
        <f>0</f>
        <v>0</v>
      </c>
      <c r="W51" s="18">
        <f>0</f>
        <v>0</v>
      </c>
      <c r="X51" s="18">
        <f>0</f>
        <v>0</v>
      </c>
      <c r="Y51" s="21">
        <f>0</f>
        <v>0</v>
      </c>
      <c r="Z51" s="21">
        <f>0</f>
        <v>0</v>
      </c>
      <c r="AA51" s="21">
        <f>0</f>
        <v>0</v>
      </c>
      <c r="AB51" s="21">
        <f>0</f>
        <v>0</v>
      </c>
      <c r="AC51" s="18">
        <f>0</f>
        <v>0</v>
      </c>
      <c r="AD51" s="18">
        <f>0</f>
        <v>0</v>
      </c>
      <c r="AE51" s="18">
        <f>0</f>
        <v>0</v>
      </c>
      <c r="AF51" s="2"/>
    </row>
    <row r="52" spans="2:32">
      <c r="B52" s="2"/>
      <c r="C52" s="35" t="s">
        <v>578</v>
      </c>
      <c r="D52" s="36"/>
      <c r="E52" s="18">
        <f>0</f>
        <v>0</v>
      </c>
      <c r="F52" s="18">
        <f>0</f>
        <v>0</v>
      </c>
      <c r="G52" s="21">
        <f>0</f>
        <v>0</v>
      </c>
      <c r="H52" s="21">
        <f>0</f>
        <v>0</v>
      </c>
      <c r="I52" s="21">
        <f>0</f>
        <v>0</v>
      </c>
      <c r="J52" s="21">
        <f>0</f>
        <v>0</v>
      </c>
      <c r="K52" s="18">
        <f>0</f>
        <v>0</v>
      </c>
      <c r="L52" s="18">
        <f>0</f>
        <v>0</v>
      </c>
      <c r="M52" s="18">
        <f>0</f>
        <v>0</v>
      </c>
      <c r="N52" s="51">
        <v>0</v>
      </c>
      <c r="O52" s="51">
        <v>0</v>
      </c>
      <c r="P52" s="18">
        <f>0</f>
        <v>0</v>
      </c>
      <c r="Q52" s="18">
        <f>0</f>
        <v>0</v>
      </c>
      <c r="R52" s="18">
        <f>0</f>
        <v>0</v>
      </c>
      <c r="S52" s="18">
        <f>0</f>
        <v>0</v>
      </c>
      <c r="T52" s="51">
        <v>0</v>
      </c>
      <c r="U52" s="51">
        <v>0</v>
      </c>
      <c r="V52" s="18">
        <f>0</f>
        <v>0</v>
      </c>
      <c r="W52" s="18">
        <f>0</f>
        <v>0</v>
      </c>
      <c r="X52" s="18">
        <f>0</f>
        <v>0</v>
      </c>
      <c r="Y52" s="21">
        <f>0</f>
        <v>0</v>
      </c>
      <c r="Z52" s="21">
        <f>0</f>
        <v>0</v>
      </c>
      <c r="AA52" s="21">
        <f>0</f>
        <v>0</v>
      </c>
      <c r="AB52" s="21">
        <f>0</f>
        <v>0</v>
      </c>
      <c r="AC52" s="18">
        <f>0</f>
        <v>0</v>
      </c>
      <c r="AD52" s="18">
        <f>0</f>
        <v>0</v>
      </c>
      <c r="AE52" s="18">
        <f>0</f>
        <v>0</v>
      </c>
      <c r="AF52" s="2"/>
    </row>
    <row r="53" spans="2:32">
      <c r="B53" s="2"/>
      <c r="C53" s="35" t="s">
        <v>579</v>
      </c>
      <c r="D53" s="36"/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18">
        <f>SUM(E53:L53)</f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18">
        <f>SUM(N53:U53)</f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21">
        <f>0</f>
        <v>0</v>
      </c>
      <c r="AC53" s="51">
        <v>0</v>
      </c>
      <c r="AD53" s="51">
        <v>0</v>
      </c>
      <c r="AE53" s="18">
        <f>SUM(W53:AD53)</f>
        <v>0</v>
      </c>
      <c r="AF53" s="2"/>
    </row>
    <row r="54" spans="2:32">
      <c r="B54" s="2"/>
      <c r="C54" s="35" t="s">
        <v>580</v>
      </c>
      <c r="D54" s="36"/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18">
        <f>SUM(E54:L54)</f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18">
        <f>SUM(N54:U54)</f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18">
        <f>SUM(W54:AD54)</f>
        <v>0</v>
      </c>
      <c r="AF54" s="2"/>
    </row>
    <row r="55" spans="2:32">
      <c r="B55" s="2"/>
      <c r="C55" s="35" t="s">
        <v>280</v>
      </c>
      <c r="D55" s="36"/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18">
        <f>SUM(E55:L55)</f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18">
        <f>SUM(N55:U55)</f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18">
        <f>SUM(W55:AD55)</f>
        <v>0</v>
      </c>
      <c r="AF55" s="2"/>
    </row>
    <row r="56" spans="2:32">
      <c r="B56" s="2"/>
      <c r="C56" s="35" t="s">
        <v>281</v>
      </c>
      <c r="D56" s="36"/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18">
        <f>SUM(E56:L56)</f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18">
        <f>SUM(N56:U56)</f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18">
        <f>SUM(W56:AD56)</f>
        <v>0</v>
      </c>
      <c r="AF56" s="2"/>
    </row>
    <row r="57" spans="2:32">
      <c r="B57" s="2"/>
      <c r="C57" s="35" t="s">
        <v>283</v>
      </c>
      <c r="D57" s="36"/>
      <c r="E57" s="51">
        <v>0</v>
      </c>
      <c r="F57" s="51">
        <v>0</v>
      </c>
      <c r="G57" s="18">
        <f>0</f>
        <v>0</v>
      </c>
      <c r="H57" s="18">
        <f>0</f>
        <v>0</v>
      </c>
      <c r="I57" s="18">
        <f>0</f>
        <v>0</v>
      </c>
      <c r="J57" s="18">
        <f>0</f>
        <v>0</v>
      </c>
      <c r="K57" s="51">
        <v>0</v>
      </c>
      <c r="L57" s="51">
        <v>0</v>
      </c>
      <c r="M57" s="18">
        <f>0</f>
        <v>0</v>
      </c>
      <c r="N57" s="18">
        <f>0</f>
        <v>0</v>
      </c>
      <c r="O57" s="18">
        <f>0</f>
        <v>0</v>
      </c>
      <c r="P57" s="21">
        <f>0</f>
        <v>0</v>
      </c>
      <c r="Q57" s="21">
        <f>0</f>
        <v>0</v>
      </c>
      <c r="R57" s="21">
        <f>0</f>
        <v>0</v>
      </c>
      <c r="S57" s="21">
        <f>0</f>
        <v>0</v>
      </c>
      <c r="T57" s="18">
        <f>0</f>
        <v>0</v>
      </c>
      <c r="U57" s="18">
        <f>0</f>
        <v>0</v>
      </c>
      <c r="V57" s="18">
        <f>0</f>
        <v>0</v>
      </c>
      <c r="W57" s="18">
        <f>0</f>
        <v>0</v>
      </c>
      <c r="X57" s="18">
        <f>0</f>
        <v>0</v>
      </c>
      <c r="Y57" s="21">
        <f>0</f>
        <v>0</v>
      </c>
      <c r="Z57" s="21">
        <f>0</f>
        <v>0</v>
      </c>
      <c r="AA57" s="21">
        <f>0</f>
        <v>0</v>
      </c>
      <c r="AB57" s="18">
        <f>0</f>
        <v>0</v>
      </c>
      <c r="AC57" s="18">
        <f>0</f>
        <v>0</v>
      </c>
      <c r="AD57" s="18">
        <f>0</f>
        <v>0</v>
      </c>
      <c r="AE57" s="18">
        <f>0</f>
        <v>0</v>
      </c>
      <c r="AF57" s="2"/>
    </row>
    <row r="58" spans="2:32">
      <c r="B58" s="2"/>
      <c r="C58" s="35" t="s">
        <v>622</v>
      </c>
      <c r="D58" s="36"/>
      <c r="E58" s="51">
        <v>0</v>
      </c>
      <c r="F58" s="51">
        <v>0</v>
      </c>
      <c r="G58" s="18">
        <f>0</f>
        <v>0</v>
      </c>
      <c r="H58" s="18">
        <f>0</f>
        <v>0</v>
      </c>
      <c r="I58" s="18">
        <f>0</f>
        <v>0</v>
      </c>
      <c r="J58" s="18">
        <f>0</f>
        <v>0</v>
      </c>
      <c r="K58" s="51">
        <v>0</v>
      </c>
      <c r="L58" s="51">
        <v>0</v>
      </c>
      <c r="M58" s="18">
        <f>0</f>
        <v>0</v>
      </c>
      <c r="N58" s="18">
        <f>0</f>
        <v>0</v>
      </c>
      <c r="O58" s="18">
        <f>0</f>
        <v>0</v>
      </c>
      <c r="P58" s="21">
        <f>0</f>
        <v>0</v>
      </c>
      <c r="Q58" s="21">
        <f>0</f>
        <v>0</v>
      </c>
      <c r="R58" s="21">
        <f>0</f>
        <v>0</v>
      </c>
      <c r="S58" s="21">
        <f>0</f>
        <v>0</v>
      </c>
      <c r="T58" s="18">
        <f>0</f>
        <v>0</v>
      </c>
      <c r="U58" s="18">
        <f>0</f>
        <v>0</v>
      </c>
      <c r="V58" s="18">
        <f>0</f>
        <v>0</v>
      </c>
      <c r="W58" s="18">
        <f>0</f>
        <v>0</v>
      </c>
      <c r="X58" s="18">
        <f>0</f>
        <v>0</v>
      </c>
      <c r="Y58" s="21">
        <f>0</f>
        <v>0</v>
      </c>
      <c r="Z58" s="21">
        <f>0</f>
        <v>0</v>
      </c>
      <c r="AA58" s="21">
        <f>0</f>
        <v>0</v>
      </c>
      <c r="AB58" s="21">
        <f>0</f>
        <v>0</v>
      </c>
      <c r="AC58" s="18">
        <f>0</f>
        <v>0</v>
      </c>
      <c r="AD58" s="18">
        <f>0</f>
        <v>0</v>
      </c>
      <c r="AE58" s="18">
        <f>0</f>
        <v>0</v>
      </c>
      <c r="AF58" s="2"/>
    </row>
    <row r="59" spans="2:32">
      <c r="B59" s="2"/>
      <c r="C59" s="35" t="s">
        <v>285</v>
      </c>
      <c r="D59" s="36"/>
      <c r="E59" s="18">
        <f>0</f>
        <v>0</v>
      </c>
      <c r="F59" s="18">
        <f>0</f>
        <v>0</v>
      </c>
      <c r="G59" s="18">
        <f>0</f>
        <v>0</v>
      </c>
      <c r="H59" s="18">
        <f>0</f>
        <v>0</v>
      </c>
      <c r="I59" s="18">
        <f>0</f>
        <v>0</v>
      </c>
      <c r="J59" s="18">
        <f>0</f>
        <v>0</v>
      </c>
      <c r="K59" s="18">
        <f>0</f>
        <v>0</v>
      </c>
      <c r="L59" s="18">
        <f>0</f>
        <v>0</v>
      </c>
      <c r="M59" s="18">
        <f>0</f>
        <v>0</v>
      </c>
      <c r="N59" s="18">
        <f>0</f>
        <v>0</v>
      </c>
      <c r="O59" s="18">
        <f>0</f>
        <v>0</v>
      </c>
      <c r="P59" s="18">
        <f>0</f>
        <v>0</v>
      </c>
      <c r="Q59" s="18">
        <f>0</f>
        <v>0</v>
      </c>
      <c r="R59" s="18">
        <f>0</f>
        <v>0</v>
      </c>
      <c r="S59" s="18">
        <f>0</f>
        <v>0</v>
      </c>
      <c r="T59" s="18">
        <f>0</f>
        <v>0</v>
      </c>
      <c r="U59" s="18">
        <f>0</f>
        <v>0</v>
      </c>
      <c r="V59" s="18">
        <f>0</f>
        <v>0</v>
      </c>
      <c r="W59" s="18">
        <f>0</f>
        <v>0</v>
      </c>
      <c r="X59" s="18">
        <f>0</f>
        <v>0</v>
      </c>
      <c r="Y59" s="18">
        <f>0</f>
        <v>0</v>
      </c>
      <c r="Z59" s="18">
        <f>0</f>
        <v>0</v>
      </c>
      <c r="AA59" s="18">
        <f>0</f>
        <v>0</v>
      </c>
      <c r="AB59" s="18">
        <f>0</f>
        <v>0</v>
      </c>
      <c r="AC59" s="18">
        <f>0</f>
        <v>0</v>
      </c>
      <c r="AD59" s="18">
        <f>0</f>
        <v>0</v>
      </c>
      <c r="AE59" s="18">
        <f>0</f>
        <v>0</v>
      </c>
      <c r="AF59" s="2"/>
    </row>
    <row r="60" spans="2:32">
      <c r="B60" s="2"/>
      <c r="C60" s="35" t="s">
        <v>286</v>
      </c>
      <c r="D60" s="36"/>
      <c r="E60" s="18">
        <f>0</f>
        <v>0</v>
      </c>
      <c r="F60" s="18">
        <f>0</f>
        <v>0</v>
      </c>
      <c r="G60" s="18">
        <f>0</f>
        <v>0</v>
      </c>
      <c r="H60" s="18">
        <f>0</f>
        <v>0</v>
      </c>
      <c r="I60" s="18">
        <f>0</f>
        <v>0</v>
      </c>
      <c r="J60" s="18">
        <f>0</f>
        <v>0</v>
      </c>
      <c r="K60" s="18">
        <f>0</f>
        <v>0</v>
      </c>
      <c r="L60" s="18">
        <f>0</f>
        <v>0</v>
      </c>
      <c r="M60" s="18">
        <f>0</f>
        <v>0</v>
      </c>
      <c r="N60" s="18">
        <f>0</f>
        <v>0</v>
      </c>
      <c r="O60" s="18">
        <f>0</f>
        <v>0</v>
      </c>
      <c r="P60" s="18">
        <f>0</f>
        <v>0</v>
      </c>
      <c r="Q60" s="18">
        <f>0</f>
        <v>0</v>
      </c>
      <c r="R60" s="18">
        <f>0</f>
        <v>0</v>
      </c>
      <c r="S60" s="18">
        <f>0</f>
        <v>0</v>
      </c>
      <c r="T60" s="18">
        <f>0</f>
        <v>0</v>
      </c>
      <c r="U60" s="18">
        <f>0</f>
        <v>0</v>
      </c>
      <c r="V60" s="18">
        <f>0</f>
        <v>0</v>
      </c>
      <c r="W60" s="18">
        <f>0</f>
        <v>0</v>
      </c>
      <c r="X60" s="18">
        <f>0</f>
        <v>0</v>
      </c>
      <c r="Y60" s="18">
        <f>0</f>
        <v>0</v>
      </c>
      <c r="Z60" s="18">
        <f>0</f>
        <v>0</v>
      </c>
      <c r="AA60" s="18">
        <f>0</f>
        <v>0</v>
      </c>
      <c r="AB60" s="18">
        <f>0</f>
        <v>0</v>
      </c>
      <c r="AC60" s="18">
        <f>0</f>
        <v>0</v>
      </c>
      <c r="AD60" s="18">
        <f>0</f>
        <v>0</v>
      </c>
      <c r="AE60" s="18">
        <f>0</f>
        <v>0</v>
      </c>
      <c r="AF60" s="2"/>
    </row>
    <row r="61" spans="2:32">
      <c r="B61" s="2"/>
      <c r="C61" s="35" t="s">
        <v>287</v>
      </c>
      <c r="D61" s="36"/>
      <c r="E61" s="18">
        <f>0</f>
        <v>0</v>
      </c>
      <c r="F61" s="18">
        <f>0</f>
        <v>0</v>
      </c>
      <c r="G61" s="18">
        <f>0</f>
        <v>0</v>
      </c>
      <c r="H61" s="18">
        <f>0</f>
        <v>0</v>
      </c>
      <c r="I61" s="18">
        <f>0</f>
        <v>0</v>
      </c>
      <c r="J61" s="18">
        <f>0</f>
        <v>0</v>
      </c>
      <c r="K61" s="18">
        <f>0</f>
        <v>0</v>
      </c>
      <c r="L61" s="18">
        <f>0</f>
        <v>0</v>
      </c>
      <c r="M61" s="18">
        <f>0</f>
        <v>0</v>
      </c>
      <c r="N61" s="18">
        <f>0</f>
        <v>0</v>
      </c>
      <c r="O61" s="18">
        <f>0</f>
        <v>0</v>
      </c>
      <c r="P61" s="18">
        <f>0</f>
        <v>0</v>
      </c>
      <c r="Q61" s="18">
        <f>0</f>
        <v>0</v>
      </c>
      <c r="R61" s="18">
        <f>0</f>
        <v>0</v>
      </c>
      <c r="S61" s="18">
        <f>0</f>
        <v>0</v>
      </c>
      <c r="T61" s="18">
        <f>0</f>
        <v>0</v>
      </c>
      <c r="U61" s="18">
        <f>0</f>
        <v>0</v>
      </c>
      <c r="V61" s="18">
        <f>0</f>
        <v>0</v>
      </c>
      <c r="W61" s="18">
        <f>0</f>
        <v>0</v>
      </c>
      <c r="X61" s="18">
        <f>0</f>
        <v>0</v>
      </c>
      <c r="Y61" s="18">
        <f>0</f>
        <v>0</v>
      </c>
      <c r="Z61" s="18">
        <f>0</f>
        <v>0</v>
      </c>
      <c r="AA61" s="18">
        <f>0</f>
        <v>0</v>
      </c>
      <c r="AB61" s="18">
        <f>0</f>
        <v>0</v>
      </c>
      <c r="AC61" s="18">
        <f>0</f>
        <v>0</v>
      </c>
      <c r="AD61" s="18">
        <f>0</f>
        <v>0</v>
      </c>
      <c r="AE61" s="18">
        <f>0</f>
        <v>0</v>
      </c>
      <c r="AF61" s="2"/>
    </row>
    <row r="62" spans="2:32">
      <c r="B62" s="2"/>
      <c r="C62" s="35" t="s">
        <v>288</v>
      </c>
      <c r="D62" s="36"/>
      <c r="E62" s="18">
        <f>0</f>
        <v>0</v>
      </c>
      <c r="F62" s="18">
        <f>0</f>
        <v>0</v>
      </c>
      <c r="G62" s="18">
        <f>0</f>
        <v>0</v>
      </c>
      <c r="H62" s="18">
        <f>0</f>
        <v>0</v>
      </c>
      <c r="I62" s="18">
        <f>0</f>
        <v>0</v>
      </c>
      <c r="J62" s="18">
        <f>0</f>
        <v>0</v>
      </c>
      <c r="K62" s="18">
        <f>0</f>
        <v>0</v>
      </c>
      <c r="L62" s="18">
        <f>0</f>
        <v>0</v>
      </c>
      <c r="M62" s="18">
        <f>0</f>
        <v>0</v>
      </c>
      <c r="N62" s="18">
        <f>0</f>
        <v>0</v>
      </c>
      <c r="O62" s="18">
        <f>0</f>
        <v>0</v>
      </c>
      <c r="P62" s="18">
        <f>0</f>
        <v>0</v>
      </c>
      <c r="Q62" s="18">
        <f>0</f>
        <v>0</v>
      </c>
      <c r="R62" s="18">
        <f>0</f>
        <v>0</v>
      </c>
      <c r="S62" s="18">
        <f>0</f>
        <v>0</v>
      </c>
      <c r="T62" s="18">
        <f>0</f>
        <v>0</v>
      </c>
      <c r="U62" s="18">
        <f>0</f>
        <v>0</v>
      </c>
      <c r="V62" s="18">
        <f>0</f>
        <v>0</v>
      </c>
      <c r="W62" s="18">
        <f>0</f>
        <v>0</v>
      </c>
      <c r="X62" s="18">
        <f>0</f>
        <v>0</v>
      </c>
      <c r="Y62" s="18">
        <f>0</f>
        <v>0</v>
      </c>
      <c r="Z62" s="18">
        <f>0</f>
        <v>0</v>
      </c>
      <c r="AA62" s="18">
        <f>0</f>
        <v>0</v>
      </c>
      <c r="AB62" s="18">
        <f>0</f>
        <v>0</v>
      </c>
      <c r="AC62" s="18">
        <f>0</f>
        <v>0</v>
      </c>
      <c r="AD62" s="18">
        <f>0</f>
        <v>0</v>
      </c>
      <c r="AE62" s="18">
        <f>0</f>
        <v>0</v>
      </c>
      <c r="AF62" s="2"/>
    </row>
    <row r="63" spans="2:32">
      <c r="B63" s="2"/>
      <c r="C63" s="37" t="s">
        <v>623</v>
      </c>
      <c r="D63" s="38"/>
      <c r="E63" s="18">
        <f t="shared" ref="E63:AE63" si="13">SUM(E50:E62)</f>
        <v>0</v>
      </c>
      <c r="F63" s="18">
        <f t="shared" si="13"/>
        <v>0</v>
      </c>
      <c r="G63" s="18">
        <f t="shared" si="13"/>
        <v>0</v>
      </c>
      <c r="H63" s="18">
        <f t="shared" si="13"/>
        <v>0</v>
      </c>
      <c r="I63" s="18">
        <f t="shared" si="13"/>
        <v>0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0</v>
      </c>
      <c r="N63" s="18">
        <f t="shared" si="13"/>
        <v>0</v>
      </c>
      <c r="O63" s="18">
        <f t="shared" si="13"/>
        <v>0</v>
      </c>
      <c r="P63" s="18">
        <f t="shared" si="13"/>
        <v>0</v>
      </c>
      <c r="Q63" s="18">
        <f t="shared" si="13"/>
        <v>0</v>
      </c>
      <c r="R63" s="18">
        <f t="shared" si="13"/>
        <v>0</v>
      </c>
      <c r="S63" s="18">
        <f t="shared" si="13"/>
        <v>0</v>
      </c>
      <c r="T63" s="18">
        <f t="shared" si="13"/>
        <v>0</v>
      </c>
      <c r="U63" s="18">
        <f t="shared" si="13"/>
        <v>0</v>
      </c>
      <c r="V63" s="18">
        <f t="shared" si="13"/>
        <v>0</v>
      </c>
      <c r="W63" s="18">
        <f t="shared" si="13"/>
        <v>0</v>
      </c>
      <c r="X63" s="18">
        <f t="shared" si="13"/>
        <v>0</v>
      </c>
      <c r="Y63" s="18">
        <f t="shared" si="13"/>
        <v>0</v>
      </c>
      <c r="Z63" s="18">
        <f t="shared" si="13"/>
        <v>0</v>
      </c>
      <c r="AA63" s="18">
        <f t="shared" si="13"/>
        <v>0</v>
      </c>
      <c r="AB63" s="18">
        <f t="shared" si="13"/>
        <v>0</v>
      </c>
      <c r="AC63" s="18">
        <f t="shared" si="13"/>
        <v>0</v>
      </c>
      <c r="AD63" s="18">
        <f t="shared" si="13"/>
        <v>0</v>
      </c>
      <c r="AE63" s="18">
        <f t="shared" si="13"/>
        <v>0</v>
      </c>
      <c r="AF63" s="2"/>
    </row>
    <row r="64" spans="2:32">
      <c r="B64" s="2"/>
      <c r="C64" s="37" t="s">
        <v>624</v>
      </c>
      <c r="D64" s="38"/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18">
        <f>SUM(E64:L64)</f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18">
        <f>SUM(N64:U64)</f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18">
        <f>SUM(W64:AD64)</f>
        <v>0</v>
      </c>
      <c r="AF64" s="2"/>
    </row>
    <row r="65" spans="2:32">
      <c r="B65" s="2"/>
      <c r="C65" s="37" t="s">
        <v>625</v>
      </c>
      <c r="D65" s="38"/>
      <c r="E65" s="18">
        <f t="shared" ref="E65:L65" si="14">E48*E64/1000000</f>
        <v>0</v>
      </c>
      <c r="F65" s="18">
        <f t="shared" si="14"/>
        <v>0</v>
      </c>
      <c r="G65" s="18">
        <f t="shared" si="14"/>
        <v>0</v>
      </c>
      <c r="H65" s="18">
        <f t="shared" si="14"/>
        <v>0</v>
      </c>
      <c r="I65" s="18">
        <f t="shared" si="14"/>
        <v>0</v>
      </c>
      <c r="J65" s="18">
        <f t="shared" si="14"/>
        <v>0</v>
      </c>
      <c r="K65" s="18">
        <f t="shared" si="14"/>
        <v>0</v>
      </c>
      <c r="L65" s="18">
        <f t="shared" si="14"/>
        <v>0</v>
      </c>
      <c r="M65" s="21">
        <f>SUM(E65:L65)</f>
        <v>0</v>
      </c>
      <c r="N65" s="18">
        <f t="shared" ref="N65:U65" si="15">N48*N64/1000000</f>
        <v>0</v>
      </c>
      <c r="O65" s="18">
        <f t="shared" si="15"/>
        <v>0</v>
      </c>
      <c r="P65" s="18">
        <f t="shared" si="15"/>
        <v>0</v>
      </c>
      <c r="Q65" s="18">
        <f t="shared" si="15"/>
        <v>0</v>
      </c>
      <c r="R65" s="18">
        <f t="shared" si="15"/>
        <v>0</v>
      </c>
      <c r="S65" s="18">
        <f t="shared" si="15"/>
        <v>0</v>
      </c>
      <c r="T65" s="18">
        <f t="shared" si="15"/>
        <v>0</v>
      </c>
      <c r="U65" s="18">
        <f t="shared" si="15"/>
        <v>0</v>
      </c>
      <c r="V65" s="21">
        <f>SUM(N65:U65)</f>
        <v>0</v>
      </c>
      <c r="W65" s="18">
        <f t="shared" ref="W65:AD65" si="16">W48*W64/1000000</f>
        <v>0</v>
      </c>
      <c r="X65" s="18">
        <f t="shared" si="16"/>
        <v>0</v>
      </c>
      <c r="Y65" s="18">
        <f t="shared" si="16"/>
        <v>0</v>
      </c>
      <c r="Z65" s="18">
        <f t="shared" si="16"/>
        <v>0</v>
      </c>
      <c r="AA65" s="18">
        <f t="shared" si="16"/>
        <v>0</v>
      </c>
      <c r="AB65" s="18">
        <f t="shared" si="16"/>
        <v>0</v>
      </c>
      <c r="AC65" s="18">
        <f t="shared" si="16"/>
        <v>0</v>
      </c>
      <c r="AD65" s="18">
        <f t="shared" si="16"/>
        <v>0</v>
      </c>
      <c r="AE65" s="21">
        <f>SUM(W65:AD65)</f>
        <v>0</v>
      </c>
      <c r="AF65" s="2"/>
    </row>
    <row r="66" spans="2:32">
      <c r="B66" s="2"/>
      <c r="C66" s="37" t="s">
        <v>626</v>
      </c>
      <c r="D66" s="38"/>
      <c r="E66" s="18">
        <f t="shared" ref="E66:L66" si="17">E63*E64/1000000</f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21">
        <f>SUM(E66:L66)</f>
        <v>0</v>
      </c>
      <c r="N66" s="18">
        <f t="shared" ref="N66:U66" si="18">N63*N64/1000000</f>
        <v>0</v>
      </c>
      <c r="O66" s="18">
        <f t="shared" si="18"/>
        <v>0</v>
      </c>
      <c r="P66" s="18">
        <f t="shared" si="18"/>
        <v>0</v>
      </c>
      <c r="Q66" s="18">
        <f t="shared" si="18"/>
        <v>0</v>
      </c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21">
        <f>SUM(N66:U66)</f>
        <v>0</v>
      </c>
      <c r="W66" s="18">
        <f t="shared" ref="W66:AD66" si="19">W63*W64/1000000</f>
        <v>0</v>
      </c>
      <c r="X66" s="18">
        <f t="shared" si="19"/>
        <v>0</v>
      </c>
      <c r="Y66" s="18">
        <f t="shared" si="19"/>
        <v>0</v>
      </c>
      <c r="Z66" s="18">
        <f t="shared" si="19"/>
        <v>0</v>
      </c>
      <c r="AA66" s="18">
        <f t="shared" si="19"/>
        <v>0</v>
      </c>
      <c r="AB66" s="18">
        <f t="shared" si="19"/>
        <v>0</v>
      </c>
      <c r="AC66" s="18">
        <f t="shared" si="19"/>
        <v>0</v>
      </c>
      <c r="AD66" s="18">
        <f t="shared" si="19"/>
        <v>0</v>
      </c>
      <c r="AE66" s="21">
        <f>SUM(W66:AD66)</f>
        <v>0</v>
      </c>
      <c r="AF66" s="2"/>
    </row>
    <row r="67" spans="2:32">
      <c r="B67" s="2"/>
      <c r="C67" s="37" t="s">
        <v>627</v>
      </c>
      <c r="D67" s="38"/>
      <c r="E67" s="18">
        <f t="shared" ref="E67:AE67" si="20">E66-E65</f>
        <v>0</v>
      </c>
      <c r="F67" s="18">
        <f t="shared" si="20"/>
        <v>0</v>
      </c>
      <c r="G67" s="18">
        <f t="shared" si="20"/>
        <v>0</v>
      </c>
      <c r="H67" s="18">
        <f t="shared" si="20"/>
        <v>0</v>
      </c>
      <c r="I67" s="18">
        <f t="shared" si="20"/>
        <v>0</v>
      </c>
      <c r="J67" s="18">
        <f t="shared" si="20"/>
        <v>0</v>
      </c>
      <c r="K67" s="18">
        <f t="shared" si="20"/>
        <v>0</v>
      </c>
      <c r="L67" s="18">
        <f t="shared" si="20"/>
        <v>0</v>
      </c>
      <c r="M67" s="18">
        <f t="shared" si="20"/>
        <v>0</v>
      </c>
      <c r="N67" s="18">
        <f t="shared" si="20"/>
        <v>0</v>
      </c>
      <c r="O67" s="18">
        <f t="shared" si="20"/>
        <v>0</v>
      </c>
      <c r="P67" s="18">
        <f t="shared" si="20"/>
        <v>0</v>
      </c>
      <c r="Q67" s="18">
        <f t="shared" si="20"/>
        <v>0</v>
      </c>
      <c r="R67" s="18">
        <f t="shared" si="20"/>
        <v>0</v>
      </c>
      <c r="S67" s="18">
        <f t="shared" si="20"/>
        <v>0</v>
      </c>
      <c r="T67" s="18">
        <f t="shared" si="20"/>
        <v>0</v>
      </c>
      <c r="U67" s="18">
        <f t="shared" si="20"/>
        <v>0</v>
      </c>
      <c r="V67" s="18">
        <f t="shared" si="20"/>
        <v>0</v>
      </c>
      <c r="W67" s="18">
        <f t="shared" si="20"/>
        <v>0</v>
      </c>
      <c r="X67" s="18">
        <f t="shared" si="20"/>
        <v>0</v>
      </c>
      <c r="Y67" s="18">
        <f t="shared" si="20"/>
        <v>0</v>
      </c>
      <c r="Z67" s="18">
        <f t="shared" si="20"/>
        <v>0</v>
      </c>
      <c r="AA67" s="18">
        <f t="shared" si="20"/>
        <v>0</v>
      </c>
      <c r="AB67" s="18">
        <f t="shared" si="20"/>
        <v>0</v>
      </c>
      <c r="AC67" s="18">
        <f t="shared" si="20"/>
        <v>0</v>
      </c>
      <c r="AD67" s="18">
        <f t="shared" si="20"/>
        <v>0</v>
      </c>
      <c r="AE67" s="18">
        <f t="shared" si="20"/>
        <v>0</v>
      </c>
      <c r="AF67" s="2"/>
    </row>
    <row r="68" spans="2:32">
      <c r="B68" s="2"/>
      <c r="C68" s="37" t="s">
        <v>628</v>
      </c>
      <c r="D68" s="38"/>
      <c r="E68" s="18">
        <f t="shared" ref="E68:L68" si="21">IF(E15="IDR",0,IF(E66&gt;E65,0.3,IF(E65&gt;1.2*E66,0.1,0)))</f>
        <v>0</v>
      </c>
      <c r="F68" s="18">
        <f t="shared" si="21"/>
        <v>0</v>
      </c>
      <c r="G68" s="18">
        <f t="shared" si="21"/>
        <v>0</v>
      </c>
      <c r="H68" s="18">
        <f t="shared" si="21"/>
        <v>0</v>
      </c>
      <c r="I68" s="18">
        <f t="shared" si="21"/>
        <v>0</v>
      </c>
      <c r="J68" s="18">
        <f t="shared" si="21"/>
        <v>0</v>
      </c>
      <c r="K68" s="18">
        <f t="shared" si="21"/>
        <v>0</v>
      </c>
      <c r="L68" s="18">
        <f t="shared" si="21"/>
        <v>0</v>
      </c>
      <c r="M68" s="21">
        <f>0</f>
        <v>0</v>
      </c>
      <c r="N68" s="18">
        <f t="shared" ref="N68:U68" si="22">IF(N15="IDR",0,IF(N66&gt;N65,0.3,IF(N65&gt;1.2*N66,0.1,0)))</f>
        <v>0</v>
      </c>
      <c r="O68" s="18">
        <f t="shared" si="22"/>
        <v>0</v>
      </c>
      <c r="P68" s="18">
        <f t="shared" si="22"/>
        <v>0</v>
      </c>
      <c r="Q68" s="18">
        <f t="shared" si="22"/>
        <v>0</v>
      </c>
      <c r="R68" s="18">
        <f t="shared" si="22"/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21">
        <f>0</f>
        <v>0</v>
      </c>
      <c r="W68" s="18">
        <f t="shared" ref="W68:AD68" si="23">IF(W15="IDR",0,IF(W66&gt;W65,0.3,IF(W65&gt;1.2*W66,0.1,0)))</f>
        <v>0</v>
      </c>
      <c r="X68" s="18">
        <f t="shared" si="23"/>
        <v>0</v>
      </c>
      <c r="Y68" s="18">
        <f t="shared" si="23"/>
        <v>0</v>
      </c>
      <c r="Z68" s="18">
        <f t="shared" si="23"/>
        <v>0</v>
      </c>
      <c r="AA68" s="18">
        <f t="shared" si="23"/>
        <v>0</v>
      </c>
      <c r="AB68" s="18">
        <f t="shared" si="23"/>
        <v>0</v>
      </c>
      <c r="AC68" s="18">
        <f t="shared" si="23"/>
        <v>0</v>
      </c>
      <c r="AD68" s="18">
        <f t="shared" si="23"/>
        <v>0</v>
      </c>
      <c r="AE68" s="21">
        <f>0</f>
        <v>0</v>
      </c>
      <c r="AF68" s="2"/>
    </row>
    <row r="69" spans="2:32">
      <c r="B69" s="2"/>
      <c r="C69" s="37" t="s">
        <v>629</v>
      </c>
      <c r="D69" s="38"/>
      <c r="E69" s="18">
        <f t="shared" ref="E69:L69" si="24">IF(E68=0.3,E67*0.3,IF(E68=0.1,(E65-1.2*E66)*0.1,E67*0))</f>
        <v>0</v>
      </c>
      <c r="F69" s="18">
        <f t="shared" si="24"/>
        <v>0</v>
      </c>
      <c r="G69" s="18">
        <f t="shared" si="24"/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21">
        <f>SUM(E69:L69)</f>
        <v>0</v>
      </c>
      <c r="N69" s="18">
        <f t="shared" ref="N69:U69" si="25">IF(N68=0.3,N67*0.3,IF(N68=0.1,(N65-1.2*N66)*0.1,N67*0))</f>
        <v>0</v>
      </c>
      <c r="O69" s="18">
        <f t="shared" si="25"/>
        <v>0</v>
      </c>
      <c r="P69" s="18">
        <f t="shared" si="25"/>
        <v>0</v>
      </c>
      <c r="Q69" s="18">
        <f t="shared" si="25"/>
        <v>0</v>
      </c>
      <c r="R69" s="18">
        <f t="shared" si="25"/>
        <v>0</v>
      </c>
      <c r="S69" s="18">
        <f t="shared" si="25"/>
        <v>0</v>
      </c>
      <c r="T69" s="18">
        <f t="shared" si="25"/>
        <v>0</v>
      </c>
      <c r="U69" s="18">
        <f t="shared" si="25"/>
        <v>0</v>
      </c>
      <c r="V69" s="21">
        <f>SUM(N69:U69)</f>
        <v>0</v>
      </c>
      <c r="W69" s="18">
        <f t="shared" ref="W69:AD69" si="26">IF(W68=0.3,W67*0.3,IF(W68=0.1,(W65-1.2*W66)*0.1,W67*0))</f>
        <v>0</v>
      </c>
      <c r="X69" s="18">
        <f t="shared" si="26"/>
        <v>0</v>
      </c>
      <c r="Y69" s="18">
        <f t="shared" si="26"/>
        <v>0</v>
      </c>
      <c r="Z69" s="18">
        <f t="shared" si="26"/>
        <v>0</v>
      </c>
      <c r="AA69" s="18">
        <f t="shared" si="26"/>
        <v>0</v>
      </c>
      <c r="AB69" s="18">
        <f t="shared" si="26"/>
        <v>0</v>
      </c>
      <c r="AC69" s="18">
        <f t="shared" si="26"/>
        <v>0</v>
      </c>
      <c r="AD69" s="18">
        <f t="shared" si="26"/>
        <v>0</v>
      </c>
      <c r="AE69" s="21">
        <f>SUM(W69:AD69)</f>
        <v>0</v>
      </c>
      <c r="AF69" s="2"/>
    </row>
    <row r="70" spans="2:3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2" ht="5.0999999999999996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sheetProtection sheet="1" formatColumns="0" formatRows="0" selectLockedCells="1"/>
  <mergeCells count="865">
    <mergeCell ref="C7:AE7"/>
    <mergeCell ref="C9:AE9"/>
    <mergeCell ref="C10:AE10"/>
    <mergeCell ref="C11:AE11"/>
    <mergeCell ref="C13:AE13"/>
    <mergeCell ref="R15"/>
    <mergeCell ref="I15"/>
    <mergeCell ref="J15"/>
    <mergeCell ref="K15"/>
    <mergeCell ref="L15"/>
    <mergeCell ref="M15"/>
    <mergeCell ref="C14:D15"/>
    <mergeCell ref="E15"/>
    <mergeCell ref="F15"/>
    <mergeCell ref="G15"/>
    <mergeCell ref="H15"/>
    <mergeCell ref="E14:M14"/>
    <mergeCell ref="C16:D16"/>
    <mergeCell ref="C17:D17"/>
    <mergeCell ref="E17"/>
    <mergeCell ref="F17"/>
    <mergeCell ref="G17"/>
    <mergeCell ref="AB15"/>
    <mergeCell ref="AC15"/>
    <mergeCell ref="AD15"/>
    <mergeCell ref="W14:AE14"/>
    <mergeCell ref="AE15"/>
    <mergeCell ref="W15"/>
    <mergeCell ref="X15"/>
    <mergeCell ref="Y15"/>
    <mergeCell ref="Z15"/>
    <mergeCell ref="AA15"/>
    <mergeCell ref="S15"/>
    <mergeCell ref="T15"/>
    <mergeCell ref="U15"/>
    <mergeCell ref="V15"/>
    <mergeCell ref="N14:V14"/>
    <mergeCell ref="N15"/>
    <mergeCell ref="O15"/>
    <mergeCell ref="P15"/>
    <mergeCell ref="Q15"/>
    <mergeCell ref="W17"/>
    <mergeCell ref="X17"/>
    <mergeCell ref="N17"/>
    <mergeCell ref="O17"/>
    <mergeCell ref="P17"/>
    <mergeCell ref="Q17"/>
    <mergeCell ref="R17"/>
    <mergeCell ref="H17"/>
    <mergeCell ref="I17"/>
    <mergeCell ref="J17"/>
    <mergeCell ref="K17"/>
    <mergeCell ref="L17"/>
    <mergeCell ref="AD17"/>
    <mergeCell ref="C18:D18"/>
    <mergeCell ref="E18"/>
    <mergeCell ref="F18"/>
    <mergeCell ref="G18"/>
    <mergeCell ref="H18"/>
    <mergeCell ref="I18"/>
    <mergeCell ref="J18"/>
    <mergeCell ref="K18"/>
    <mergeCell ref="L18"/>
    <mergeCell ref="N18"/>
    <mergeCell ref="O18"/>
    <mergeCell ref="P18"/>
    <mergeCell ref="Q18"/>
    <mergeCell ref="R18"/>
    <mergeCell ref="S18"/>
    <mergeCell ref="Y17"/>
    <mergeCell ref="Z17"/>
    <mergeCell ref="AA17"/>
    <mergeCell ref="AB17"/>
    <mergeCell ref="AC17"/>
    <mergeCell ref="S17"/>
    <mergeCell ref="T17"/>
    <mergeCell ref="U17"/>
    <mergeCell ref="Z18"/>
    <mergeCell ref="AA18"/>
    <mergeCell ref="AB18"/>
    <mergeCell ref="AC18"/>
    <mergeCell ref="AD18"/>
    <mergeCell ref="T18"/>
    <mergeCell ref="U18"/>
    <mergeCell ref="W18"/>
    <mergeCell ref="X18"/>
    <mergeCell ref="Y18"/>
    <mergeCell ref="AD19"/>
    <mergeCell ref="T19"/>
    <mergeCell ref="U19"/>
    <mergeCell ref="W19"/>
    <mergeCell ref="X19"/>
    <mergeCell ref="Y19"/>
    <mergeCell ref="O19"/>
    <mergeCell ref="P19"/>
    <mergeCell ref="Q19"/>
    <mergeCell ref="R19"/>
    <mergeCell ref="S19"/>
    <mergeCell ref="C20:D20"/>
    <mergeCell ref="E20"/>
    <mergeCell ref="F20"/>
    <mergeCell ref="G20"/>
    <mergeCell ref="H20"/>
    <mergeCell ref="Z19"/>
    <mergeCell ref="AA19"/>
    <mergeCell ref="AB19"/>
    <mergeCell ref="AC19"/>
    <mergeCell ref="I19"/>
    <mergeCell ref="J19"/>
    <mergeCell ref="K19"/>
    <mergeCell ref="L19"/>
    <mergeCell ref="N19"/>
    <mergeCell ref="C19:D19"/>
    <mergeCell ref="E19"/>
    <mergeCell ref="F19"/>
    <mergeCell ref="G19"/>
    <mergeCell ref="H19"/>
    <mergeCell ref="O20"/>
    <mergeCell ref="P20"/>
    <mergeCell ref="Q20"/>
    <mergeCell ref="R20"/>
    <mergeCell ref="S20"/>
    <mergeCell ref="I20"/>
    <mergeCell ref="J20"/>
    <mergeCell ref="K20"/>
    <mergeCell ref="L20"/>
    <mergeCell ref="N20"/>
    <mergeCell ref="Z20"/>
    <mergeCell ref="AA20"/>
    <mergeCell ref="AB20"/>
    <mergeCell ref="AC20"/>
    <mergeCell ref="AD20"/>
    <mergeCell ref="T20"/>
    <mergeCell ref="U20"/>
    <mergeCell ref="W20"/>
    <mergeCell ref="X20"/>
    <mergeCell ref="Y20"/>
    <mergeCell ref="AD21"/>
    <mergeCell ref="T21"/>
    <mergeCell ref="U21"/>
    <mergeCell ref="W21"/>
    <mergeCell ref="X21"/>
    <mergeCell ref="Y21"/>
    <mergeCell ref="O21"/>
    <mergeCell ref="P21"/>
    <mergeCell ref="Q21"/>
    <mergeCell ref="R21"/>
    <mergeCell ref="S21"/>
    <mergeCell ref="C22:D22"/>
    <mergeCell ref="E22"/>
    <mergeCell ref="F22"/>
    <mergeCell ref="G22"/>
    <mergeCell ref="H22"/>
    <mergeCell ref="Z21"/>
    <mergeCell ref="AA21"/>
    <mergeCell ref="AB21"/>
    <mergeCell ref="AC21"/>
    <mergeCell ref="I21"/>
    <mergeCell ref="J21"/>
    <mergeCell ref="K21"/>
    <mergeCell ref="L21"/>
    <mergeCell ref="N21"/>
    <mergeCell ref="C21:D21"/>
    <mergeCell ref="E21"/>
    <mergeCell ref="F21"/>
    <mergeCell ref="G21"/>
    <mergeCell ref="H21"/>
    <mergeCell ref="O22"/>
    <mergeCell ref="P22"/>
    <mergeCell ref="Q22"/>
    <mergeCell ref="R22"/>
    <mergeCell ref="S22"/>
    <mergeCell ref="I22"/>
    <mergeCell ref="J22"/>
    <mergeCell ref="K22"/>
    <mergeCell ref="L22"/>
    <mergeCell ref="N22"/>
    <mergeCell ref="Z22"/>
    <mergeCell ref="AA22"/>
    <mergeCell ref="AB22"/>
    <mergeCell ref="AC22"/>
    <mergeCell ref="AD22"/>
    <mergeCell ref="T22"/>
    <mergeCell ref="U22"/>
    <mergeCell ref="W22"/>
    <mergeCell ref="X22"/>
    <mergeCell ref="Y22"/>
    <mergeCell ref="AD23"/>
    <mergeCell ref="T23"/>
    <mergeCell ref="U23"/>
    <mergeCell ref="W23"/>
    <mergeCell ref="X23"/>
    <mergeCell ref="Y23"/>
    <mergeCell ref="O23"/>
    <mergeCell ref="P23"/>
    <mergeCell ref="Q23"/>
    <mergeCell ref="R23"/>
    <mergeCell ref="S23"/>
    <mergeCell ref="C24:D24"/>
    <mergeCell ref="E24"/>
    <mergeCell ref="F24"/>
    <mergeCell ref="G24"/>
    <mergeCell ref="H24"/>
    <mergeCell ref="Z23"/>
    <mergeCell ref="AA23"/>
    <mergeCell ref="AB23"/>
    <mergeCell ref="AC23"/>
    <mergeCell ref="I23"/>
    <mergeCell ref="J23"/>
    <mergeCell ref="K23"/>
    <mergeCell ref="L23"/>
    <mergeCell ref="N23"/>
    <mergeCell ref="C23:D23"/>
    <mergeCell ref="E23"/>
    <mergeCell ref="F23"/>
    <mergeCell ref="G23"/>
    <mergeCell ref="H23"/>
    <mergeCell ref="O24"/>
    <mergeCell ref="P24"/>
    <mergeCell ref="Q24"/>
    <mergeCell ref="R24"/>
    <mergeCell ref="S24"/>
    <mergeCell ref="I24"/>
    <mergeCell ref="J24"/>
    <mergeCell ref="K24"/>
    <mergeCell ref="L24"/>
    <mergeCell ref="N24"/>
    <mergeCell ref="Z24"/>
    <mergeCell ref="AA24"/>
    <mergeCell ref="AB24"/>
    <mergeCell ref="AC24"/>
    <mergeCell ref="AD24"/>
    <mergeCell ref="T24"/>
    <mergeCell ref="U24"/>
    <mergeCell ref="W24"/>
    <mergeCell ref="X24"/>
    <mergeCell ref="Y24"/>
    <mergeCell ref="AD25"/>
    <mergeCell ref="T25"/>
    <mergeCell ref="U25"/>
    <mergeCell ref="W25"/>
    <mergeCell ref="X25"/>
    <mergeCell ref="Y25"/>
    <mergeCell ref="O25"/>
    <mergeCell ref="P25"/>
    <mergeCell ref="Q25"/>
    <mergeCell ref="R25"/>
    <mergeCell ref="S25"/>
    <mergeCell ref="C26:D26"/>
    <mergeCell ref="E26"/>
    <mergeCell ref="F26"/>
    <mergeCell ref="G26"/>
    <mergeCell ref="H26"/>
    <mergeCell ref="Z25"/>
    <mergeCell ref="AA25"/>
    <mergeCell ref="AB25"/>
    <mergeCell ref="AC25"/>
    <mergeCell ref="I25"/>
    <mergeCell ref="J25"/>
    <mergeCell ref="K25"/>
    <mergeCell ref="L25"/>
    <mergeCell ref="N25"/>
    <mergeCell ref="C25:D25"/>
    <mergeCell ref="E25"/>
    <mergeCell ref="F25"/>
    <mergeCell ref="G25"/>
    <mergeCell ref="H25"/>
    <mergeCell ref="O26"/>
    <mergeCell ref="P26"/>
    <mergeCell ref="Q26"/>
    <mergeCell ref="R26"/>
    <mergeCell ref="S26"/>
    <mergeCell ref="I26"/>
    <mergeCell ref="J26"/>
    <mergeCell ref="K26"/>
    <mergeCell ref="L26"/>
    <mergeCell ref="N26"/>
    <mergeCell ref="Z26"/>
    <mergeCell ref="AA26"/>
    <mergeCell ref="AB26"/>
    <mergeCell ref="AC26"/>
    <mergeCell ref="AD26"/>
    <mergeCell ref="T26"/>
    <mergeCell ref="U26"/>
    <mergeCell ref="W26"/>
    <mergeCell ref="X26"/>
    <mergeCell ref="Y26"/>
    <mergeCell ref="AD27"/>
    <mergeCell ref="T27"/>
    <mergeCell ref="U27"/>
    <mergeCell ref="W27"/>
    <mergeCell ref="X27"/>
    <mergeCell ref="Y27"/>
    <mergeCell ref="O27"/>
    <mergeCell ref="P27"/>
    <mergeCell ref="Q27"/>
    <mergeCell ref="R27"/>
    <mergeCell ref="S27"/>
    <mergeCell ref="C28:D28"/>
    <mergeCell ref="E28"/>
    <mergeCell ref="F28"/>
    <mergeCell ref="G28"/>
    <mergeCell ref="H28"/>
    <mergeCell ref="Z27"/>
    <mergeCell ref="AA27"/>
    <mergeCell ref="AB27"/>
    <mergeCell ref="AC27"/>
    <mergeCell ref="I27"/>
    <mergeCell ref="J27"/>
    <mergeCell ref="K27"/>
    <mergeCell ref="L27"/>
    <mergeCell ref="N27"/>
    <mergeCell ref="C27:D27"/>
    <mergeCell ref="E27"/>
    <mergeCell ref="F27"/>
    <mergeCell ref="G27"/>
    <mergeCell ref="H27"/>
    <mergeCell ref="O28"/>
    <mergeCell ref="P28"/>
    <mergeCell ref="Q28"/>
    <mergeCell ref="R28"/>
    <mergeCell ref="S28"/>
    <mergeCell ref="I28"/>
    <mergeCell ref="J28"/>
    <mergeCell ref="K28"/>
    <mergeCell ref="L28"/>
    <mergeCell ref="N28"/>
    <mergeCell ref="Z28"/>
    <mergeCell ref="AA28"/>
    <mergeCell ref="AB28"/>
    <mergeCell ref="AC28"/>
    <mergeCell ref="AD28"/>
    <mergeCell ref="T28"/>
    <mergeCell ref="U28"/>
    <mergeCell ref="W28"/>
    <mergeCell ref="X28"/>
    <mergeCell ref="Y28"/>
    <mergeCell ref="AD29"/>
    <mergeCell ref="T29"/>
    <mergeCell ref="U29"/>
    <mergeCell ref="W29"/>
    <mergeCell ref="X29"/>
    <mergeCell ref="Y29"/>
    <mergeCell ref="O29"/>
    <mergeCell ref="P29"/>
    <mergeCell ref="Q29"/>
    <mergeCell ref="R29"/>
    <mergeCell ref="S29"/>
    <mergeCell ref="C30:D30"/>
    <mergeCell ref="E30"/>
    <mergeCell ref="F30"/>
    <mergeCell ref="G30"/>
    <mergeCell ref="H30"/>
    <mergeCell ref="Z29"/>
    <mergeCell ref="AA29"/>
    <mergeCell ref="AB29"/>
    <mergeCell ref="AC29"/>
    <mergeCell ref="I29"/>
    <mergeCell ref="J29"/>
    <mergeCell ref="K29"/>
    <mergeCell ref="L29"/>
    <mergeCell ref="N29"/>
    <mergeCell ref="C29:D29"/>
    <mergeCell ref="E29"/>
    <mergeCell ref="F29"/>
    <mergeCell ref="G29"/>
    <mergeCell ref="H29"/>
    <mergeCell ref="O30"/>
    <mergeCell ref="P30"/>
    <mergeCell ref="Q30"/>
    <mergeCell ref="R30"/>
    <mergeCell ref="S30"/>
    <mergeCell ref="I30"/>
    <mergeCell ref="J30"/>
    <mergeCell ref="K30"/>
    <mergeCell ref="L30"/>
    <mergeCell ref="N30"/>
    <mergeCell ref="Z30"/>
    <mergeCell ref="AA30"/>
    <mergeCell ref="AB30"/>
    <mergeCell ref="AC30"/>
    <mergeCell ref="AD30"/>
    <mergeCell ref="T30"/>
    <mergeCell ref="U30"/>
    <mergeCell ref="W30"/>
    <mergeCell ref="X30"/>
    <mergeCell ref="Y30"/>
    <mergeCell ref="L33"/>
    <mergeCell ref="C32:D32"/>
    <mergeCell ref="E32"/>
    <mergeCell ref="F32"/>
    <mergeCell ref="K32"/>
    <mergeCell ref="L32"/>
    <mergeCell ref="C31:D31"/>
    <mergeCell ref="E31"/>
    <mergeCell ref="F31"/>
    <mergeCell ref="K31"/>
    <mergeCell ref="L31"/>
    <mergeCell ref="C34:D34"/>
    <mergeCell ref="E34"/>
    <mergeCell ref="F34"/>
    <mergeCell ref="G34"/>
    <mergeCell ref="H34"/>
    <mergeCell ref="C33:D33"/>
    <mergeCell ref="E33"/>
    <mergeCell ref="F33"/>
    <mergeCell ref="K33"/>
    <mergeCell ref="O34"/>
    <mergeCell ref="P34"/>
    <mergeCell ref="Q34"/>
    <mergeCell ref="R34"/>
    <mergeCell ref="S34"/>
    <mergeCell ref="I34"/>
    <mergeCell ref="J34"/>
    <mergeCell ref="K34"/>
    <mergeCell ref="L34"/>
    <mergeCell ref="N34"/>
    <mergeCell ref="Z34"/>
    <mergeCell ref="AA34"/>
    <mergeCell ref="AB34"/>
    <mergeCell ref="AC34"/>
    <mergeCell ref="AD34"/>
    <mergeCell ref="T34"/>
    <mergeCell ref="U34"/>
    <mergeCell ref="W34"/>
    <mergeCell ref="X34"/>
    <mergeCell ref="Y34"/>
    <mergeCell ref="AD35"/>
    <mergeCell ref="T35"/>
    <mergeCell ref="U35"/>
    <mergeCell ref="W35"/>
    <mergeCell ref="X35"/>
    <mergeCell ref="Y35"/>
    <mergeCell ref="O35"/>
    <mergeCell ref="P35"/>
    <mergeCell ref="Q35"/>
    <mergeCell ref="R35"/>
    <mergeCell ref="S35"/>
    <mergeCell ref="C36:D36"/>
    <mergeCell ref="E36"/>
    <mergeCell ref="F36"/>
    <mergeCell ref="G36"/>
    <mergeCell ref="H36"/>
    <mergeCell ref="Z35"/>
    <mergeCell ref="AA35"/>
    <mergeCell ref="AB35"/>
    <mergeCell ref="AC35"/>
    <mergeCell ref="I35"/>
    <mergeCell ref="J35"/>
    <mergeCell ref="K35"/>
    <mergeCell ref="L35"/>
    <mergeCell ref="N35"/>
    <mergeCell ref="C35:D35"/>
    <mergeCell ref="E35"/>
    <mergeCell ref="F35"/>
    <mergeCell ref="G35"/>
    <mergeCell ref="H35"/>
    <mergeCell ref="O36"/>
    <mergeCell ref="P36"/>
    <mergeCell ref="Q36"/>
    <mergeCell ref="R36"/>
    <mergeCell ref="S36"/>
    <mergeCell ref="I36"/>
    <mergeCell ref="J36"/>
    <mergeCell ref="K36"/>
    <mergeCell ref="L36"/>
    <mergeCell ref="N36"/>
    <mergeCell ref="Z36"/>
    <mergeCell ref="AA36"/>
    <mergeCell ref="AB36"/>
    <mergeCell ref="AC36"/>
    <mergeCell ref="AD36"/>
    <mergeCell ref="T36"/>
    <mergeCell ref="U36"/>
    <mergeCell ref="W36"/>
    <mergeCell ref="X36"/>
    <mergeCell ref="Y36"/>
    <mergeCell ref="AD37"/>
    <mergeCell ref="T37"/>
    <mergeCell ref="U37"/>
    <mergeCell ref="W37"/>
    <mergeCell ref="X37"/>
    <mergeCell ref="Y37"/>
    <mergeCell ref="O37"/>
    <mergeCell ref="P37"/>
    <mergeCell ref="Q37"/>
    <mergeCell ref="R37"/>
    <mergeCell ref="S37"/>
    <mergeCell ref="C38:D38"/>
    <mergeCell ref="E38"/>
    <mergeCell ref="F38"/>
    <mergeCell ref="G38"/>
    <mergeCell ref="H38"/>
    <mergeCell ref="Z37"/>
    <mergeCell ref="AA37"/>
    <mergeCell ref="AB37"/>
    <mergeCell ref="AC37"/>
    <mergeCell ref="I37"/>
    <mergeCell ref="J37"/>
    <mergeCell ref="K37"/>
    <mergeCell ref="L37"/>
    <mergeCell ref="N37"/>
    <mergeCell ref="C37:D37"/>
    <mergeCell ref="E37"/>
    <mergeCell ref="F37"/>
    <mergeCell ref="G37"/>
    <mergeCell ref="H37"/>
    <mergeCell ref="O38"/>
    <mergeCell ref="P38"/>
    <mergeCell ref="Q38"/>
    <mergeCell ref="R38"/>
    <mergeCell ref="S38"/>
    <mergeCell ref="I38"/>
    <mergeCell ref="J38"/>
    <mergeCell ref="K38"/>
    <mergeCell ref="L38"/>
    <mergeCell ref="N38"/>
    <mergeCell ref="Z38"/>
    <mergeCell ref="AA38"/>
    <mergeCell ref="AB38"/>
    <mergeCell ref="AC38"/>
    <mergeCell ref="AD38"/>
    <mergeCell ref="T38"/>
    <mergeCell ref="U38"/>
    <mergeCell ref="W38"/>
    <mergeCell ref="X38"/>
    <mergeCell ref="Y38"/>
    <mergeCell ref="AD39"/>
    <mergeCell ref="T39"/>
    <mergeCell ref="U39"/>
    <mergeCell ref="W39"/>
    <mergeCell ref="X39"/>
    <mergeCell ref="Y39"/>
    <mergeCell ref="O39"/>
    <mergeCell ref="P39"/>
    <mergeCell ref="Q39"/>
    <mergeCell ref="R39"/>
    <mergeCell ref="S39"/>
    <mergeCell ref="C40:D40"/>
    <mergeCell ref="E40"/>
    <mergeCell ref="F40"/>
    <mergeCell ref="G40"/>
    <mergeCell ref="H40"/>
    <mergeCell ref="Z39"/>
    <mergeCell ref="AA39"/>
    <mergeCell ref="AB39"/>
    <mergeCell ref="AC39"/>
    <mergeCell ref="I39"/>
    <mergeCell ref="J39"/>
    <mergeCell ref="K39"/>
    <mergeCell ref="L39"/>
    <mergeCell ref="N39"/>
    <mergeCell ref="C39:D39"/>
    <mergeCell ref="E39"/>
    <mergeCell ref="F39"/>
    <mergeCell ref="G39"/>
    <mergeCell ref="H39"/>
    <mergeCell ref="O40"/>
    <mergeCell ref="P40"/>
    <mergeCell ref="Q40"/>
    <mergeCell ref="R40"/>
    <mergeCell ref="S40"/>
    <mergeCell ref="I40"/>
    <mergeCell ref="J40"/>
    <mergeCell ref="K40"/>
    <mergeCell ref="L40"/>
    <mergeCell ref="N40"/>
    <mergeCell ref="Z40"/>
    <mergeCell ref="AA40"/>
    <mergeCell ref="AB40"/>
    <mergeCell ref="AC40"/>
    <mergeCell ref="AD40"/>
    <mergeCell ref="T40"/>
    <mergeCell ref="U40"/>
    <mergeCell ref="W40"/>
    <mergeCell ref="X40"/>
    <mergeCell ref="Y40"/>
    <mergeCell ref="J41"/>
    <mergeCell ref="K41"/>
    <mergeCell ref="L41"/>
    <mergeCell ref="N41"/>
    <mergeCell ref="C41:D41"/>
    <mergeCell ref="E41"/>
    <mergeCell ref="F41"/>
    <mergeCell ref="G41"/>
    <mergeCell ref="H41"/>
    <mergeCell ref="W42"/>
    <mergeCell ref="X42"/>
    <mergeCell ref="T41"/>
    <mergeCell ref="U41"/>
    <mergeCell ref="C42:D42"/>
    <mergeCell ref="E42"/>
    <mergeCell ref="F42"/>
    <mergeCell ref="G42"/>
    <mergeCell ref="H42"/>
    <mergeCell ref="I42"/>
    <mergeCell ref="J42"/>
    <mergeCell ref="K42"/>
    <mergeCell ref="L42"/>
    <mergeCell ref="N42"/>
    <mergeCell ref="O42"/>
    <mergeCell ref="P42"/>
    <mergeCell ref="Q42"/>
    <mergeCell ref="R42"/>
    <mergeCell ref="O41"/>
    <mergeCell ref="P41"/>
    <mergeCell ref="Q41"/>
    <mergeCell ref="R41"/>
    <mergeCell ref="S41"/>
    <mergeCell ref="I41"/>
    <mergeCell ref="AD42"/>
    <mergeCell ref="C43:D43"/>
    <mergeCell ref="E43"/>
    <mergeCell ref="F43"/>
    <mergeCell ref="G43"/>
    <mergeCell ref="H43"/>
    <mergeCell ref="I43"/>
    <mergeCell ref="J43"/>
    <mergeCell ref="K43"/>
    <mergeCell ref="L43"/>
    <mergeCell ref="N43"/>
    <mergeCell ref="O43"/>
    <mergeCell ref="P43"/>
    <mergeCell ref="Q43"/>
    <mergeCell ref="R43"/>
    <mergeCell ref="S43"/>
    <mergeCell ref="Y42"/>
    <mergeCell ref="Z42"/>
    <mergeCell ref="AA42"/>
    <mergeCell ref="AB42"/>
    <mergeCell ref="AC42"/>
    <mergeCell ref="S42"/>
    <mergeCell ref="T42"/>
    <mergeCell ref="U42"/>
    <mergeCell ref="Z43"/>
    <mergeCell ref="AA43"/>
    <mergeCell ref="AB43"/>
    <mergeCell ref="AC43"/>
    <mergeCell ref="AD43"/>
    <mergeCell ref="T43"/>
    <mergeCell ref="U43"/>
    <mergeCell ref="W43"/>
    <mergeCell ref="X43"/>
    <mergeCell ref="Y43"/>
    <mergeCell ref="AD44"/>
    <mergeCell ref="T44"/>
    <mergeCell ref="U44"/>
    <mergeCell ref="W44"/>
    <mergeCell ref="X44"/>
    <mergeCell ref="Y44"/>
    <mergeCell ref="O44"/>
    <mergeCell ref="P44"/>
    <mergeCell ref="Q44"/>
    <mergeCell ref="R44"/>
    <mergeCell ref="S44"/>
    <mergeCell ref="C45:D45"/>
    <mergeCell ref="E45"/>
    <mergeCell ref="F45"/>
    <mergeCell ref="G45"/>
    <mergeCell ref="H45"/>
    <mergeCell ref="Z44"/>
    <mergeCell ref="AA44"/>
    <mergeCell ref="AB44"/>
    <mergeCell ref="AC44"/>
    <mergeCell ref="I44"/>
    <mergeCell ref="J44"/>
    <mergeCell ref="K44"/>
    <mergeCell ref="L44"/>
    <mergeCell ref="N44"/>
    <mergeCell ref="C44:D44"/>
    <mergeCell ref="E44"/>
    <mergeCell ref="F44"/>
    <mergeCell ref="G44"/>
    <mergeCell ref="H44"/>
    <mergeCell ref="O45"/>
    <mergeCell ref="P45"/>
    <mergeCell ref="Q45"/>
    <mergeCell ref="R45"/>
    <mergeCell ref="S45"/>
    <mergeCell ref="I45"/>
    <mergeCell ref="J45"/>
    <mergeCell ref="K45"/>
    <mergeCell ref="L45"/>
    <mergeCell ref="N45"/>
    <mergeCell ref="Z45"/>
    <mergeCell ref="AA45"/>
    <mergeCell ref="AB45"/>
    <mergeCell ref="AC45"/>
    <mergeCell ref="AD45"/>
    <mergeCell ref="T45"/>
    <mergeCell ref="U45"/>
    <mergeCell ref="W45"/>
    <mergeCell ref="X45"/>
    <mergeCell ref="Y45"/>
    <mergeCell ref="C47:D47"/>
    <mergeCell ref="E47"/>
    <mergeCell ref="F47"/>
    <mergeCell ref="K47"/>
    <mergeCell ref="L47"/>
    <mergeCell ref="C46:D46"/>
    <mergeCell ref="E46"/>
    <mergeCell ref="F46"/>
    <mergeCell ref="K46"/>
    <mergeCell ref="L46"/>
    <mergeCell ref="U52"/>
    <mergeCell ref="T50"/>
    <mergeCell ref="U50"/>
    <mergeCell ref="C51:D51"/>
    <mergeCell ref="N51"/>
    <mergeCell ref="O51"/>
    <mergeCell ref="T51"/>
    <mergeCell ref="U51"/>
    <mergeCell ref="C48:D48"/>
    <mergeCell ref="C49:D49"/>
    <mergeCell ref="C50:D50"/>
    <mergeCell ref="N50"/>
    <mergeCell ref="O50"/>
    <mergeCell ref="C53:D53"/>
    <mergeCell ref="E53"/>
    <mergeCell ref="F53"/>
    <mergeCell ref="G53"/>
    <mergeCell ref="H53"/>
    <mergeCell ref="C52:D52"/>
    <mergeCell ref="N52"/>
    <mergeCell ref="O52"/>
    <mergeCell ref="T52"/>
    <mergeCell ref="Y53"/>
    <mergeCell ref="O53"/>
    <mergeCell ref="P53"/>
    <mergeCell ref="Q53"/>
    <mergeCell ref="R53"/>
    <mergeCell ref="S53"/>
    <mergeCell ref="I53"/>
    <mergeCell ref="J53"/>
    <mergeCell ref="K53"/>
    <mergeCell ref="L53"/>
    <mergeCell ref="N53"/>
    <mergeCell ref="R54"/>
    <mergeCell ref="S54"/>
    <mergeCell ref="T54"/>
    <mergeCell ref="U54"/>
    <mergeCell ref="Z53"/>
    <mergeCell ref="AA53"/>
    <mergeCell ref="AC53"/>
    <mergeCell ref="AD53"/>
    <mergeCell ref="C54:D54"/>
    <mergeCell ref="E54"/>
    <mergeCell ref="F54"/>
    <mergeCell ref="G54"/>
    <mergeCell ref="H54"/>
    <mergeCell ref="I54"/>
    <mergeCell ref="J54"/>
    <mergeCell ref="K54"/>
    <mergeCell ref="L54"/>
    <mergeCell ref="N54"/>
    <mergeCell ref="O54"/>
    <mergeCell ref="P54"/>
    <mergeCell ref="T53"/>
    <mergeCell ref="U53"/>
    <mergeCell ref="W53"/>
    <mergeCell ref="X53"/>
    <mergeCell ref="U55"/>
    <mergeCell ref="W55"/>
    <mergeCell ref="AB54"/>
    <mergeCell ref="AC54"/>
    <mergeCell ref="AD54"/>
    <mergeCell ref="C55:D55"/>
    <mergeCell ref="E55"/>
    <mergeCell ref="F55"/>
    <mergeCell ref="G55"/>
    <mergeCell ref="H55"/>
    <mergeCell ref="I55"/>
    <mergeCell ref="J55"/>
    <mergeCell ref="K55"/>
    <mergeCell ref="L55"/>
    <mergeCell ref="N55"/>
    <mergeCell ref="O55"/>
    <mergeCell ref="P55"/>
    <mergeCell ref="Q55"/>
    <mergeCell ref="W54"/>
    <mergeCell ref="X54"/>
    <mergeCell ref="Y54"/>
    <mergeCell ref="Z54"/>
    <mergeCell ref="AA54"/>
    <mergeCell ref="Q54"/>
    <mergeCell ref="AC55"/>
    <mergeCell ref="AD55"/>
    <mergeCell ref="C56:D56"/>
    <mergeCell ref="E56"/>
    <mergeCell ref="F56"/>
    <mergeCell ref="G56"/>
    <mergeCell ref="H56"/>
    <mergeCell ref="I56"/>
    <mergeCell ref="J56"/>
    <mergeCell ref="K56"/>
    <mergeCell ref="L56"/>
    <mergeCell ref="N56"/>
    <mergeCell ref="O56"/>
    <mergeCell ref="P56"/>
    <mergeCell ref="Q56"/>
    <mergeCell ref="R56"/>
    <mergeCell ref="X55"/>
    <mergeCell ref="Y55"/>
    <mergeCell ref="Z55"/>
    <mergeCell ref="AA55"/>
    <mergeCell ref="AB55"/>
    <mergeCell ref="R55"/>
    <mergeCell ref="S55"/>
    <mergeCell ref="T55"/>
    <mergeCell ref="L58"/>
    <mergeCell ref="AD56"/>
    <mergeCell ref="C57:D57"/>
    <mergeCell ref="E57"/>
    <mergeCell ref="F57"/>
    <mergeCell ref="K57"/>
    <mergeCell ref="L57"/>
    <mergeCell ref="Y56"/>
    <mergeCell ref="Z56"/>
    <mergeCell ref="AA56"/>
    <mergeCell ref="AB56"/>
    <mergeCell ref="AC56"/>
    <mergeCell ref="S56"/>
    <mergeCell ref="T56"/>
    <mergeCell ref="U56"/>
    <mergeCell ref="W56"/>
    <mergeCell ref="X56"/>
    <mergeCell ref="C59:D59"/>
    <mergeCell ref="C60:D60"/>
    <mergeCell ref="C61:D61"/>
    <mergeCell ref="C62:D62"/>
    <mergeCell ref="C63:D63"/>
    <mergeCell ref="C58:D58"/>
    <mergeCell ref="E58"/>
    <mergeCell ref="F58"/>
    <mergeCell ref="K58"/>
    <mergeCell ref="AD64"/>
    <mergeCell ref="T64"/>
    <mergeCell ref="U64"/>
    <mergeCell ref="W64"/>
    <mergeCell ref="X64"/>
    <mergeCell ref="Y64"/>
    <mergeCell ref="O64"/>
    <mergeCell ref="P64"/>
    <mergeCell ref="Q64"/>
    <mergeCell ref="R64"/>
    <mergeCell ref="S64"/>
    <mergeCell ref="C65:D65"/>
    <mergeCell ref="C66:D66"/>
    <mergeCell ref="C67:D67"/>
    <mergeCell ref="C68:D68"/>
    <mergeCell ref="C69:D69"/>
    <mergeCell ref="Z64"/>
    <mergeCell ref="AA64"/>
    <mergeCell ref="AB64"/>
    <mergeCell ref="AC64"/>
    <mergeCell ref="I64"/>
    <mergeCell ref="J64"/>
    <mergeCell ref="K64"/>
    <mergeCell ref="L64"/>
    <mergeCell ref="N64"/>
    <mergeCell ref="C64:D64"/>
    <mergeCell ref="E64"/>
    <mergeCell ref="F64"/>
    <mergeCell ref="G64"/>
    <mergeCell ref="H64"/>
  </mergeCells>
  <dataValidations count="775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AB17">
      <formula1>-1000000000000000000</formula1>
      <formula2>1000000000000000000</formula2>
    </dataValidation>
    <dataValidation type="decimal" showErrorMessage="1" errorTitle="Kesalahan Jenis Data" error="Data yang dimasukkan harus berupa Angka!" sqref="AC17">
      <formula1>-1000000000000000000</formula1>
      <formula2>1000000000000000000</formula2>
    </dataValidation>
    <dataValidation type="decimal" showErrorMessage="1" errorTitle="Kesalahan Jenis Data" error="Data yang dimasukkan harus berupa Angka!" sqref="AD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AB18">
      <formula1>-1000000000000000000</formula1>
      <formula2>1000000000000000000</formula2>
    </dataValidation>
    <dataValidation type="decimal" showErrorMessage="1" errorTitle="Kesalahan Jenis Data" error="Data yang dimasukkan harus berupa Angka!" sqref="AC18">
      <formula1>-1000000000000000000</formula1>
      <formula2>1000000000000000000</formula2>
    </dataValidation>
    <dataValidation type="decimal" showErrorMessage="1" errorTitle="Kesalahan Jenis Data" error="Data yang dimasukkan harus berupa Angka!" sqref="AD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AB19">
      <formula1>-1000000000000000000</formula1>
      <formula2>1000000000000000000</formula2>
    </dataValidation>
    <dataValidation type="decimal" showErrorMessage="1" errorTitle="Kesalahan Jenis Data" error="Data yang dimasukkan harus berupa Angka!" sqref="AC19">
      <formula1>-1000000000000000000</formula1>
      <formula2>1000000000000000000</formula2>
    </dataValidation>
    <dataValidation type="decimal" showErrorMessage="1" errorTitle="Kesalahan Jenis Data" error="Data yang dimasukkan harus berupa Angka!" sqref="AD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AB20">
      <formula1>-1000000000000000000</formula1>
      <formula2>1000000000000000000</formula2>
    </dataValidation>
    <dataValidation type="decimal" showErrorMessage="1" errorTitle="Kesalahan Jenis Data" error="Data yang dimasukkan harus berupa Angka!" sqref="AC20">
      <formula1>-1000000000000000000</formula1>
      <formula2>1000000000000000000</formula2>
    </dataValidation>
    <dataValidation type="decimal" showErrorMessage="1" errorTitle="Kesalahan Jenis Data" error="Data yang dimasukkan harus berupa Angka!" sqref="AD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AB21">
      <formula1>-1000000000000000000</formula1>
      <formula2>1000000000000000000</formula2>
    </dataValidation>
    <dataValidation type="decimal" showErrorMessage="1" errorTitle="Kesalahan Jenis Data" error="Data yang dimasukkan harus berupa Angka!" sqref="AC21">
      <formula1>-1000000000000000000</formula1>
      <formula2>1000000000000000000</formula2>
    </dataValidation>
    <dataValidation type="decimal" showErrorMessage="1" errorTitle="Kesalahan Jenis Data" error="Data yang dimasukkan harus berupa Angka!" sqref="AD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AB22">
      <formula1>-1000000000000000000</formula1>
      <formula2>1000000000000000000</formula2>
    </dataValidation>
    <dataValidation type="decimal" showErrorMessage="1" errorTitle="Kesalahan Jenis Data" error="Data yang dimasukkan harus berupa Angka!" sqref="AC22">
      <formula1>-1000000000000000000</formula1>
      <formula2>1000000000000000000</formula2>
    </dataValidation>
    <dataValidation type="decimal" showErrorMessage="1" errorTitle="Kesalahan Jenis Data" error="Data yang dimasukkan harus berupa Angka!" sqref="AD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AB23">
      <formula1>-1000000000000000000</formula1>
      <formula2>1000000000000000000</formula2>
    </dataValidation>
    <dataValidation type="decimal" showErrorMessage="1" errorTitle="Kesalahan Jenis Data" error="Data yang dimasukkan harus berupa Angka!" sqref="AC23">
      <formula1>-1000000000000000000</formula1>
      <formula2>1000000000000000000</formula2>
    </dataValidation>
    <dataValidation type="decimal" showErrorMessage="1" errorTitle="Kesalahan Jenis Data" error="Data yang dimasukkan harus berupa Angka!" sqref="AD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AB24">
      <formula1>-1000000000000000000</formula1>
      <formula2>1000000000000000000</formula2>
    </dataValidation>
    <dataValidation type="decimal" showErrorMessage="1" errorTitle="Kesalahan Jenis Data" error="Data yang dimasukkan harus berupa Angka!" sqref="AC24">
      <formula1>-1000000000000000000</formula1>
      <formula2>1000000000000000000</formula2>
    </dataValidation>
    <dataValidation type="decimal" showErrorMessage="1" errorTitle="Kesalahan Jenis Data" error="Data yang dimasukkan harus berupa Angka!" sqref="AD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AB25">
      <formula1>-1000000000000000000</formula1>
      <formula2>1000000000000000000</formula2>
    </dataValidation>
    <dataValidation type="decimal" showErrorMessage="1" errorTitle="Kesalahan Jenis Data" error="Data yang dimasukkan harus berupa Angka!" sqref="AC25">
      <formula1>-1000000000000000000</formula1>
      <formula2>1000000000000000000</formula2>
    </dataValidation>
    <dataValidation type="decimal" showErrorMessage="1" errorTitle="Kesalahan Jenis Data" error="Data yang dimasukkan harus berupa Angka!" sqref="AD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AB26">
      <formula1>-1000000000000000000</formula1>
      <formula2>1000000000000000000</formula2>
    </dataValidation>
    <dataValidation type="decimal" showErrorMessage="1" errorTitle="Kesalahan Jenis Data" error="Data yang dimasukkan harus berupa Angka!" sqref="AC26">
      <formula1>-1000000000000000000</formula1>
      <formula2>1000000000000000000</formula2>
    </dataValidation>
    <dataValidation type="decimal" showErrorMessage="1" errorTitle="Kesalahan Jenis Data" error="Data yang dimasukkan harus berupa Angka!" sqref="AD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AB27">
      <formula1>-1000000000000000000</formula1>
      <formula2>1000000000000000000</formula2>
    </dataValidation>
    <dataValidation type="decimal" showErrorMessage="1" errorTitle="Kesalahan Jenis Data" error="Data yang dimasukkan harus berupa Angka!" sqref="AC27">
      <formula1>-1000000000000000000</formula1>
      <formula2>1000000000000000000</formula2>
    </dataValidation>
    <dataValidation type="decimal" showErrorMessage="1" errorTitle="Kesalahan Jenis Data" error="Data yang dimasukkan harus berupa Angka!" sqref="AD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AB28">
      <formula1>-1000000000000000000</formula1>
      <formula2>1000000000000000000</formula2>
    </dataValidation>
    <dataValidation type="decimal" showErrorMessage="1" errorTitle="Kesalahan Jenis Data" error="Data yang dimasukkan harus berupa Angka!" sqref="AC28">
      <formula1>-1000000000000000000</formula1>
      <formula2>1000000000000000000</formula2>
    </dataValidation>
    <dataValidation type="decimal" showErrorMessage="1" errorTitle="Kesalahan Jenis Data" error="Data yang dimasukkan harus berupa Angka!" sqref="AD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AB29">
      <formula1>-1000000000000000000</formula1>
      <formula2>1000000000000000000</formula2>
    </dataValidation>
    <dataValidation type="decimal" showErrorMessage="1" errorTitle="Kesalahan Jenis Data" error="Data yang dimasukkan harus berupa Angka!" sqref="AC29">
      <formula1>-1000000000000000000</formula1>
      <formula2>1000000000000000000</formula2>
    </dataValidation>
    <dataValidation type="decimal" showErrorMessage="1" errorTitle="Kesalahan Jenis Data" error="Data yang dimasukkan harus berupa Angka!" sqref="AD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AB30">
      <formula1>-1000000000000000000</formula1>
      <formula2>1000000000000000000</formula2>
    </dataValidation>
    <dataValidation type="decimal" showErrorMessage="1" errorTitle="Kesalahan Jenis Data" error="Data yang dimasukkan harus berupa Angka!" sqref="AC30">
      <formula1>-1000000000000000000</formula1>
      <formula2>1000000000000000000</formula2>
    </dataValidation>
    <dataValidation type="decimal" showErrorMessage="1" errorTitle="Kesalahan Jenis Data" error="Data yang dimasukkan harus berupa Angka!" sqref="AD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O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Z34">
      <formula1>-1000000000000000000</formula1>
      <formula2>1000000000000000000</formula2>
    </dataValidation>
    <dataValidation type="decimal" showErrorMessage="1" errorTitle="Kesalahan Jenis Data" error="Data yang dimasukkan harus berupa Angka!" sqref="AA34">
      <formula1>-1000000000000000000</formula1>
      <formula2>1000000000000000000</formula2>
    </dataValidation>
    <dataValidation type="decimal" showErrorMessage="1" errorTitle="Kesalahan Jenis Data" error="Data yang dimasukkan harus berupa Angka!" sqref="AB34">
      <formula1>-1000000000000000000</formula1>
      <formula2>1000000000000000000</formula2>
    </dataValidation>
    <dataValidation type="decimal" showErrorMessage="1" errorTitle="Kesalahan Jenis Data" error="Data yang dimasukkan harus berupa Angka!" sqref="AC34">
      <formula1>-1000000000000000000</formula1>
      <formula2>1000000000000000000</formula2>
    </dataValidation>
    <dataValidation type="decimal" showErrorMessage="1" errorTitle="Kesalahan Jenis Data" error="Data yang dimasukkan harus berupa Angka!" sqref="AD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AB35">
      <formula1>-1000000000000000000</formula1>
      <formula2>1000000000000000000</formula2>
    </dataValidation>
    <dataValidation type="decimal" showErrorMessage="1" errorTitle="Kesalahan Jenis Data" error="Data yang dimasukkan harus berupa Angka!" sqref="AC35">
      <formula1>-1000000000000000000</formula1>
      <formula2>1000000000000000000</formula2>
    </dataValidation>
    <dataValidation type="decimal" showErrorMessage="1" errorTitle="Kesalahan Jenis Data" error="Data yang dimasukkan harus berupa Angka!" sqref="AD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AB36">
      <formula1>-1000000000000000000</formula1>
      <formula2>1000000000000000000</formula2>
    </dataValidation>
    <dataValidation type="decimal" showErrorMessage="1" errorTitle="Kesalahan Jenis Data" error="Data yang dimasukkan harus berupa Angka!" sqref="AC36">
      <formula1>-1000000000000000000</formula1>
      <formula2>1000000000000000000</formula2>
    </dataValidation>
    <dataValidation type="decimal" showErrorMessage="1" errorTitle="Kesalahan Jenis Data" error="Data yang dimasukkan harus berupa Angka!" sqref="AD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AB37">
      <formula1>-1000000000000000000</formula1>
      <formula2>1000000000000000000</formula2>
    </dataValidation>
    <dataValidation type="decimal" showErrorMessage="1" errorTitle="Kesalahan Jenis Data" error="Data yang dimasukkan harus berupa Angka!" sqref="AC37">
      <formula1>-1000000000000000000</formula1>
      <formula2>1000000000000000000</formula2>
    </dataValidation>
    <dataValidation type="decimal" showErrorMessage="1" errorTitle="Kesalahan Jenis Data" error="Data yang dimasukkan harus berupa Angka!" sqref="AD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AB38">
      <formula1>-1000000000000000000</formula1>
      <formula2>1000000000000000000</formula2>
    </dataValidation>
    <dataValidation type="decimal" showErrorMessage="1" errorTitle="Kesalahan Jenis Data" error="Data yang dimasukkan harus berupa Angka!" sqref="AC38">
      <formula1>-1000000000000000000</formula1>
      <formula2>1000000000000000000</formula2>
    </dataValidation>
    <dataValidation type="decimal" showErrorMessage="1" errorTitle="Kesalahan Jenis Data" error="Data yang dimasukkan harus berupa Angka!" sqref="AD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AB39">
      <formula1>-1000000000000000000</formula1>
      <formula2>1000000000000000000</formula2>
    </dataValidation>
    <dataValidation type="decimal" showErrorMessage="1" errorTitle="Kesalahan Jenis Data" error="Data yang dimasukkan harus berupa Angka!" sqref="AC39">
      <formula1>-1000000000000000000</formula1>
      <formula2>1000000000000000000</formula2>
    </dataValidation>
    <dataValidation type="decimal" showErrorMessage="1" errorTitle="Kesalahan Jenis Data" error="Data yang dimasukkan harus berupa Angka!" sqref="AD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AB40">
      <formula1>-1000000000000000000</formula1>
      <formula2>1000000000000000000</formula2>
    </dataValidation>
    <dataValidation type="decimal" showErrorMessage="1" errorTitle="Kesalahan Jenis Data" error="Data yang dimasukkan harus berupa Angka!" sqref="AC40">
      <formula1>-1000000000000000000</formula1>
      <formula2>1000000000000000000</formula2>
    </dataValidation>
    <dataValidation type="decimal" showErrorMessage="1" errorTitle="Kesalahan Jenis Data" error="Data yang dimasukkan harus berupa Angka!" sqref="AD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AB42">
      <formula1>-1000000000000000000</formula1>
      <formula2>1000000000000000000</formula2>
    </dataValidation>
    <dataValidation type="decimal" showErrorMessage="1" errorTitle="Kesalahan Jenis Data" error="Data yang dimasukkan harus berupa Angka!" sqref="AC42">
      <formula1>-1000000000000000000</formula1>
      <formula2>1000000000000000000</formula2>
    </dataValidation>
    <dataValidation type="decimal" showErrorMessage="1" errorTitle="Kesalahan Jenis Data" error="Data yang dimasukkan harus berupa Angka!" sqref="AD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AB43">
      <formula1>-1000000000000000000</formula1>
      <formula2>1000000000000000000</formula2>
    </dataValidation>
    <dataValidation type="decimal" showErrorMessage="1" errorTitle="Kesalahan Jenis Data" error="Data yang dimasukkan harus berupa Angka!" sqref="AC43">
      <formula1>-1000000000000000000</formula1>
      <formula2>1000000000000000000</formula2>
    </dataValidation>
    <dataValidation type="decimal" showErrorMessage="1" errorTitle="Kesalahan Jenis Data" error="Data yang dimasukkan harus berupa Angka!" sqref="AD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AB44">
      <formula1>-1000000000000000000</formula1>
      <formula2>1000000000000000000</formula2>
    </dataValidation>
    <dataValidation type="decimal" showErrorMessage="1" errorTitle="Kesalahan Jenis Data" error="Data yang dimasukkan harus berupa Angka!" sqref="AC44">
      <formula1>-1000000000000000000</formula1>
      <formula2>1000000000000000000</formula2>
    </dataValidation>
    <dataValidation type="decimal" showErrorMessage="1" errorTitle="Kesalahan Jenis Data" error="Data yang dimasukkan harus berupa Angka!" sqref="AD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AB45">
      <formula1>-1000000000000000000</formula1>
      <formula2>1000000000000000000</formula2>
    </dataValidation>
    <dataValidation type="decimal" showErrorMessage="1" errorTitle="Kesalahan Jenis Data" error="Data yang dimasukkan harus berupa Angka!" sqref="AC45">
      <formula1>-1000000000000000000</formula1>
      <formula2>1000000000000000000</formula2>
    </dataValidation>
    <dataValidation type="decimal" showErrorMessage="1" errorTitle="Kesalahan Jenis Data" error="Data yang dimasukkan harus berupa Angka!" sqref="AD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AC53">
      <formula1>-1000000000000000000</formula1>
      <formula2>1000000000000000000</formula2>
    </dataValidation>
    <dataValidation type="decimal" showErrorMessage="1" errorTitle="Kesalahan Jenis Data" error="Data yang dimasukkan harus berupa Angka!" sqref="AD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AB54">
      <formula1>-1000000000000000000</formula1>
      <formula2>1000000000000000000</formula2>
    </dataValidation>
    <dataValidation type="decimal" showErrorMessage="1" errorTitle="Kesalahan Jenis Data" error="Data yang dimasukkan harus berupa Angka!" sqref="AC54">
      <formula1>-1000000000000000000</formula1>
      <formula2>1000000000000000000</formula2>
    </dataValidation>
    <dataValidation type="decimal" showErrorMessage="1" errorTitle="Kesalahan Jenis Data" error="Data yang dimasukkan harus berupa Angka!" sqref="AD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AB55">
      <formula1>-1000000000000000000</formula1>
      <formula2>1000000000000000000</formula2>
    </dataValidation>
    <dataValidation type="decimal" showErrorMessage="1" errorTitle="Kesalahan Jenis Data" error="Data yang dimasukkan harus berupa Angka!" sqref="AC55">
      <formula1>-1000000000000000000</formula1>
      <formula2>1000000000000000000</formula2>
    </dataValidation>
    <dataValidation type="decimal" showErrorMessage="1" errorTitle="Kesalahan Jenis Data" error="Data yang dimasukkan harus berupa Angka!" sqref="AD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AB56">
      <formula1>-1000000000000000000</formula1>
      <formula2>1000000000000000000</formula2>
    </dataValidation>
    <dataValidation type="decimal" showErrorMessage="1" errorTitle="Kesalahan Jenis Data" error="Data yang dimasukkan harus berupa Angka!" sqref="AC56">
      <formula1>-1000000000000000000</formula1>
      <formula2>1000000000000000000</formula2>
    </dataValidation>
    <dataValidation type="decimal" showErrorMessage="1" errorTitle="Kesalahan Jenis Data" error="Data yang dimasukkan harus berupa Angka!" sqref="AD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AB64">
      <formula1>-1000000000000000000</formula1>
      <formula2>1000000000000000000</formula2>
    </dataValidation>
    <dataValidation type="decimal" showErrorMessage="1" errorTitle="Kesalahan Jenis Data" error="Data yang dimasukkan harus berupa Angka!" sqref="AC64">
      <formula1>-1000000000000000000</formula1>
      <formula2>1000000000000000000</formula2>
    </dataValidation>
    <dataValidation type="decimal" showErrorMessage="1" errorTitle="Kesalahan Jenis Data" error="Data yang dimasukkan harus berupa Angka!" sqref="AD64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630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45" t="str">
        <f>UPPER('Data Umum'!D7)</f>
        <v/>
      </c>
      <c r="D7" s="45"/>
      <c r="E7" s="45"/>
      <c r="F7" s="45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46" t="s">
        <v>560</v>
      </c>
      <c r="D9" s="46"/>
      <c r="E9" s="46"/>
      <c r="F9" s="46"/>
      <c r="G9" s="2"/>
    </row>
    <row r="10" spans="2:7">
      <c r="B10" s="2"/>
      <c r="C10" s="46" t="s">
        <v>631</v>
      </c>
      <c r="D10" s="46"/>
      <c r="E10" s="46"/>
      <c r="F10" s="46"/>
      <c r="G10" s="2"/>
    </row>
    <row r="11" spans="2:7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48" t="s">
        <v>232</v>
      </c>
      <c r="D13" s="48"/>
      <c r="E13" s="48"/>
      <c r="F13" s="48"/>
      <c r="G13" s="2"/>
    </row>
    <row r="14" spans="2:7">
      <c r="B14" s="2"/>
      <c r="C14" s="40" t="s">
        <v>236</v>
      </c>
      <c r="D14" s="38"/>
      <c r="E14" s="43" t="str">
        <f>"Dana Perusahaan"</f>
        <v>Dana Perusahaan</v>
      </c>
      <c r="F14" s="43" t="str">
        <f>"Dana Tabarru'"</f>
        <v>Dana Tabarru'</v>
      </c>
      <c r="G14" s="2"/>
    </row>
    <row r="15" spans="2:7">
      <c r="B15" s="2"/>
      <c r="C15" s="41"/>
      <c r="D15" s="42"/>
      <c r="E15" s="44"/>
      <c r="F15" s="44"/>
      <c r="G15" s="2"/>
    </row>
    <row r="16" spans="2:7">
      <c r="B16" s="2"/>
      <c r="C16" s="37" t="s">
        <v>632</v>
      </c>
      <c r="D16" s="38"/>
      <c r="E16" s="21" t="str">
        <f>""</f>
        <v/>
      </c>
      <c r="F16" s="51">
        <v>0</v>
      </c>
      <c r="G16" s="2"/>
    </row>
    <row r="17" spans="2:7">
      <c r="B17" s="2"/>
      <c r="C17" s="37" t="s">
        <v>633</v>
      </c>
      <c r="D17" s="38"/>
      <c r="E17" s="21" t="str">
        <f>""</f>
        <v/>
      </c>
      <c r="F17" s="51">
        <v>0</v>
      </c>
      <c r="G17" s="2"/>
    </row>
    <row r="18" spans="2:7">
      <c r="B18" s="2"/>
      <c r="C18" s="37" t="s">
        <v>634</v>
      </c>
      <c r="D18" s="38"/>
      <c r="E18" s="21" t="str">
        <f>""</f>
        <v/>
      </c>
      <c r="F18" s="18">
        <f>MAX((F16-F17),0)</f>
        <v>0</v>
      </c>
      <c r="G18" s="2"/>
    </row>
    <row r="19" spans="2:7">
      <c r="B19" s="2"/>
      <c r="C19" s="37" t="s">
        <v>635</v>
      </c>
      <c r="D19" s="38"/>
      <c r="E19" s="51">
        <v>0</v>
      </c>
      <c r="F19" s="21" t="str">
        <f>""</f>
        <v/>
      </c>
      <c r="G19" s="2"/>
    </row>
    <row r="20" spans="2:7">
      <c r="B20" s="2"/>
      <c r="C20" s="37" t="s">
        <v>636</v>
      </c>
      <c r="D20" s="38"/>
      <c r="E20" s="51">
        <v>0</v>
      </c>
      <c r="F20" s="21" t="str">
        <f>""</f>
        <v/>
      </c>
      <c r="G20" s="2"/>
    </row>
    <row r="21" spans="2:7">
      <c r="B21" s="2"/>
      <c r="C21" s="37" t="s">
        <v>637</v>
      </c>
      <c r="D21" s="38"/>
      <c r="E21" s="18">
        <f>MAX((E19-E20),0)</f>
        <v>0</v>
      </c>
      <c r="F21" s="21" t="str">
        <f>""</f>
        <v/>
      </c>
      <c r="G21" s="2"/>
    </row>
    <row r="22" spans="2:7">
      <c r="B22" s="2"/>
      <c r="C22" s="37" t="s">
        <v>638</v>
      </c>
      <c r="D22" s="38"/>
      <c r="E22" s="17" t="str">
        <f>"15%"</f>
        <v>15%</v>
      </c>
      <c r="F22" s="17" t="str">
        <f>"15%"</f>
        <v>15%</v>
      </c>
      <c r="G22" s="2"/>
    </row>
    <row r="23" spans="2:7">
      <c r="B23" s="2"/>
      <c r="C23" s="37" t="s">
        <v>639</v>
      </c>
      <c r="D23" s="38"/>
      <c r="E23" s="18">
        <f>E22*E21</f>
        <v>0</v>
      </c>
      <c r="F23" s="18">
        <f>F18*F22</f>
        <v>0</v>
      </c>
      <c r="G23" s="2"/>
    </row>
    <row r="24" spans="2:7">
      <c r="B24" s="2"/>
      <c r="C24" s="2"/>
      <c r="D24" s="2"/>
      <c r="E24" s="2"/>
      <c r="F24" s="2"/>
      <c r="G24" s="2"/>
    </row>
    <row r="25" spans="2:7" ht="5.0999999999999996" customHeight="1">
      <c r="B25" s="2"/>
      <c r="C25" s="2"/>
      <c r="D25" s="2"/>
      <c r="E25" s="2"/>
      <c r="F25" s="2"/>
      <c r="G25" s="2"/>
    </row>
  </sheetData>
  <sheetProtection sheet="1" formatColumns="0" formatRows="0" selectLockedCells="1"/>
  <mergeCells count="20">
    <mergeCell ref="C7:F7"/>
    <mergeCell ref="C9:F9"/>
    <mergeCell ref="C10:F10"/>
    <mergeCell ref="C11:F11"/>
    <mergeCell ref="C13:F13"/>
    <mergeCell ref="C14:D15"/>
    <mergeCell ref="E14:E15"/>
    <mergeCell ref="F14:F15"/>
    <mergeCell ref="C16:D16"/>
    <mergeCell ref="F16"/>
    <mergeCell ref="C17:D17"/>
    <mergeCell ref="F17"/>
    <mergeCell ref="C18:D18"/>
    <mergeCell ref="C19:D19"/>
    <mergeCell ref="E19"/>
    <mergeCell ref="C20:D20"/>
    <mergeCell ref="E20"/>
    <mergeCell ref="C21:D21"/>
    <mergeCell ref="C22:D22"/>
    <mergeCell ref="C23:D23"/>
  </mergeCells>
  <dataValidations count="4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showGridLines="0" workbookViewId="0"/>
  </sheetViews>
  <sheetFormatPr defaultRowHeight="15"/>
  <cols>
    <col min="1" max="1" width="9.140625" style="1" customWidth="1"/>
    <col min="2" max="2" width="1" style="1" customWidth="1"/>
    <col min="3" max="3" width="10" style="1" customWidth="1"/>
    <col min="4" max="4" width="20" style="1" customWidth="1"/>
    <col min="5" max="6" width="50" style="1" customWidth="1"/>
    <col min="7" max="7" width="2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2"/>
      <c r="C2" s="2"/>
      <c r="D2" s="2"/>
      <c r="E2" s="2"/>
      <c r="F2" s="2"/>
      <c r="G2" s="2"/>
      <c r="H2" s="2"/>
    </row>
    <row r="3" spans="2:8" hidden="1">
      <c r="B3" s="2"/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5.75">
      <c r="B7" s="2"/>
      <c r="C7" s="10" t="s">
        <v>39</v>
      </c>
      <c r="D7" s="2"/>
      <c r="E7" s="10" t="s">
        <v>40</v>
      </c>
      <c r="F7" s="2"/>
      <c r="G7" s="10" t="b">
        <f>AND(G10, G11, G12, G13, G14, G15, G16, G17, G18, G19, G20, G21, G22, G23, G24, G25, G26, G27, G28, G29, G30, G31, G32, G33, G34, G35)</f>
        <v>1</v>
      </c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12" t="s">
        <v>41</v>
      </c>
      <c r="D9" s="12" t="s">
        <v>42</v>
      </c>
      <c r="E9" s="12" t="s">
        <v>43</v>
      </c>
      <c r="F9" s="12" t="s">
        <v>44</v>
      </c>
      <c r="G9" s="12" t="s">
        <v>39</v>
      </c>
      <c r="H9" s="2"/>
    </row>
    <row r="10" spans="2:8" ht="15.75">
      <c r="B10" s="2"/>
      <c r="C10" s="12">
        <v>1</v>
      </c>
      <c r="D10" s="12" t="s">
        <v>45</v>
      </c>
      <c r="E10" s="12" t="s">
        <v>46</v>
      </c>
      <c r="F10" s="12" t="s">
        <v>47</v>
      </c>
      <c r="G10" s="10" t="b">
        <f>ROUND('LPKRE-SY'!E16,2)=ROUND('LPKRE-SY'!E46,2)</f>
        <v>1</v>
      </c>
      <c r="H10" s="2"/>
    </row>
    <row r="11" spans="2:8" ht="15.75">
      <c r="B11" s="2"/>
      <c r="C11" s="12">
        <v>2</v>
      </c>
      <c r="D11" s="12" t="s">
        <v>45</v>
      </c>
      <c r="E11" s="12" t="s">
        <v>48</v>
      </c>
      <c r="F11" s="12" t="s">
        <v>49</v>
      </c>
      <c r="G11" s="10" t="b">
        <f>ROUND('LPKRE-SY'!F16,2)=ROUND('LPKRE-SY'!F46,2)</f>
        <v>1</v>
      </c>
      <c r="H11" s="2"/>
    </row>
    <row r="12" spans="2:8" ht="15.75">
      <c r="B12" s="2"/>
      <c r="C12" s="12">
        <v>3</v>
      </c>
      <c r="D12" s="12" t="s">
        <v>45</v>
      </c>
      <c r="E12" s="12" t="s">
        <v>50</v>
      </c>
      <c r="F12" s="12" t="s">
        <v>51</v>
      </c>
      <c r="G12" s="10" t="b">
        <f>ROUND('LPKRE-SY'!G16,2)=ROUND('LPKRE-SY'!G46,2)</f>
        <v>1</v>
      </c>
      <c r="H12" s="2"/>
    </row>
    <row r="13" spans="2:8" ht="15.75">
      <c r="B13" s="2"/>
      <c r="C13" s="12">
        <v>4</v>
      </c>
      <c r="D13" s="12" t="s">
        <v>45</v>
      </c>
      <c r="E13" s="12" t="s">
        <v>52</v>
      </c>
      <c r="F13" s="12" t="s">
        <v>53</v>
      </c>
      <c r="G13" s="10" t="b">
        <f>ROUND('LPKRE-SY'!H16,2)=ROUND('LPKRE-SY'!H46,2)</f>
        <v>1</v>
      </c>
      <c r="H13" s="2"/>
    </row>
    <row r="14" spans="2:8" ht="15.75">
      <c r="B14" s="2"/>
      <c r="C14" s="12">
        <v>5</v>
      </c>
      <c r="D14" s="12" t="s">
        <v>45</v>
      </c>
      <c r="E14" s="12" t="s">
        <v>54</v>
      </c>
      <c r="F14" s="12" t="s">
        <v>55</v>
      </c>
      <c r="G14" s="10" t="b">
        <f>ROUND('LPKRE-SY'!L16,2)=ROUND('LPKRE-SY'!L46,2)</f>
        <v>1</v>
      </c>
      <c r="H14" s="2"/>
    </row>
    <row r="15" spans="2:8" ht="15.75">
      <c r="B15" s="2"/>
      <c r="C15" s="12">
        <v>6</v>
      </c>
      <c r="D15" s="12" t="s">
        <v>45</v>
      </c>
      <c r="E15" s="12" t="s">
        <v>56</v>
      </c>
      <c r="F15" s="12" t="s">
        <v>57</v>
      </c>
      <c r="G15" s="10" t="b">
        <f>ROUND('LPKRE-SY'!E59,2)=ROUND(LPDR!E27,2)</f>
        <v>1</v>
      </c>
      <c r="H15" s="2"/>
    </row>
    <row r="16" spans="2:8" ht="15.75">
      <c r="B16" s="2"/>
      <c r="C16" s="12">
        <v>7</v>
      </c>
      <c r="D16" s="12" t="s">
        <v>45</v>
      </c>
      <c r="E16" s="12" t="s">
        <v>58</v>
      </c>
      <c r="F16" s="12" t="s">
        <v>59</v>
      </c>
      <c r="G16" s="10" t="b">
        <f>ROUND('LPKRE-SY'!G59,2)=ROUND(LPDR!F27,2)</f>
        <v>1</v>
      </c>
      <c r="H16" s="2"/>
    </row>
    <row r="17" spans="2:8" ht="15.75">
      <c r="B17" s="2"/>
      <c r="C17" s="12">
        <v>8</v>
      </c>
      <c r="D17" s="12" t="s">
        <v>45</v>
      </c>
      <c r="E17" s="12" t="s">
        <v>60</v>
      </c>
      <c r="F17" s="12" t="s">
        <v>61</v>
      </c>
      <c r="G17" s="10" t="b">
        <f>ROUND('LPKRE-SY'!L59,2)=ROUND(LPDR!G27,2)</f>
        <v>1</v>
      </c>
      <c r="H17" s="2"/>
    </row>
    <row r="18" spans="2:8" ht="15.75">
      <c r="B18" s="2"/>
      <c r="C18" s="12">
        <v>1</v>
      </c>
      <c r="D18" s="12" t="s">
        <v>62</v>
      </c>
      <c r="E18" s="12" t="s">
        <v>63</v>
      </c>
      <c r="F18" s="12" t="s">
        <v>64</v>
      </c>
      <c r="G18" s="10" t="b">
        <f>ROUND(LPDR!E19,2)=ROUND(LKKRE!E66,2)</f>
        <v>1</v>
      </c>
      <c r="H18" s="2"/>
    </row>
    <row r="19" spans="2:8" ht="15.75">
      <c r="B19" s="2"/>
      <c r="C19" s="12">
        <v>2</v>
      </c>
      <c r="D19" s="12" t="s">
        <v>62</v>
      </c>
      <c r="E19" s="12" t="s">
        <v>65</v>
      </c>
      <c r="F19" s="12" t="s">
        <v>66</v>
      </c>
      <c r="G19" s="10" t="b">
        <f>ROUND(LPDR!F20,2)=ROUND(LKKRE!F66,2)</f>
        <v>1</v>
      </c>
      <c r="H19" s="2"/>
    </row>
    <row r="20" spans="2:8" ht="15.75">
      <c r="B20" s="2"/>
      <c r="C20" s="12">
        <v>3</v>
      </c>
      <c r="D20" s="12" t="s">
        <v>62</v>
      </c>
      <c r="E20" s="12" t="s">
        <v>65</v>
      </c>
      <c r="F20" s="12" t="s">
        <v>66</v>
      </c>
      <c r="G20" s="10" t="b">
        <f>ROUND(LPDR!F20,2)=ROUND(LKKRE!F66,2)</f>
        <v>1</v>
      </c>
      <c r="H20" s="2"/>
    </row>
    <row r="21" spans="2:8" ht="15.75">
      <c r="B21" s="2"/>
      <c r="C21" s="12">
        <v>3</v>
      </c>
      <c r="D21" s="12" t="s">
        <v>67</v>
      </c>
      <c r="E21" s="12" t="s">
        <v>68</v>
      </c>
      <c r="F21" s="12" t="s">
        <v>69</v>
      </c>
      <c r="G21" s="10" t="b">
        <f>ROUND('DP-R'!E38,2)=ROUND('LPKRE-SY'!E17,2)</f>
        <v>1</v>
      </c>
      <c r="H21" s="2"/>
    </row>
    <row r="22" spans="2:8" ht="15.75">
      <c r="B22" s="2"/>
      <c r="C22" s="12">
        <v>4</v>
      </c>
      <c r="D22" s="12" t="s">
        <v>67</v>
      </c>
      <c r="E22" s="12" t="s">
        <v>70</v>
      </c>
      <c r="F22" s="12" t="s">
        <v>71</v>
      </c>
      <c r="G22" s="10" t="b">
        <f>ROUND('DP-R'!E48,2)=ROUND('LPKRE-SY'!E39,2)</f>
        <v>1</v>
      </c>
      <c r="H22" s="2"/>
    </row>
    <row r="23" spans="2:8" ht="15.75">
      <c r="B23" s="2"/>
      <c r="C23" s="12">
        <v>5</v>
      </c>
      <c r="D23" s="12" t="s">
        <v>72</v>
      </c>
      <c r="E23" s="12" t="s">
        <v>73</v>
      </c>
      <c r="F23" s="12" t="s">
        <v>74</v>
      </c>
      <c r="G23" s="10" t="b">
        <f>ROUND(DTUR!E35,2)=ROUND('LPKRE-SY'!G17,2)</f>
        <v>1</v>
      </c>
      <c r="H23" s="2"/>
    </row>
    <row r="24" spans="2:8" ht="15.75">
      <c r="B24" s="2"/>
      <c r="C24" s="12">
        <v>6</v>
      </c>
      <c r="D24" s="12" t="s">
        <v>72</v>
      </c>
      <c r="E24" s="12" t="s">
        <v>75</v>
      </c>
      <c r="F24" s="12" t="s">
        <v>76</v>
      </c>
      <c r="G24" s="10" t="b">
        <f>ROUND(DTUR!E45,2)=ROUND('LPKRE-SY'!G39,2)</f>
        <v>1</v>
      </c>
      <c r="H24" s="2"/>
    </row>
    <row r="25" spans="2:8" ht="15.75">
      <c r="B25" s="2"/>
      <c r="C25" s="12">
        <v>7</v>
      </c>
      <c r="D25" s="12" t="s">
        <v>77</v>
      </c>
      <c r="E25" s="12" t="s">
        <v>78</v>
      </c>
      <c r="F25" s="12" t="s">
        <v>79</v>
      </c>
      <c r="G25" s="10" t="b">
        <f>ROUND(RPTSRES!E17,2)=ROUND(DTUR!K46,2)</f>
        <v>1</v>
      </c>
      <c r="H25" s="2"/>
    </row>
    <row r="26" spans="2:8" ht="15.75">
      <c r="B26" s="2"/>
      <c r="C26" s="12">
        <v>8</v>
      </c>
      <c r="D26" s="12" t="s">
        <v>77</v>
      </c>
      <c r="E26" s="12" t="s">
        <v>80</v>
      </c>
      <c r="F26" s="12" t="s">
        <v>81</v>
      </c>
      <c r="G26" s="10" t="b">
        <f>ROUND(RPTSRES!E18,2)=ROUND('DTUR-1'!F21,2)</f>
        <v>1</v>
      </c>
      <c r="H26" s="2"/>
    </row>
    <row r="27" spans="2:8" ht="15.75">
      <c r="B27" s="2"/>
      <c r="C27" s="12">
        <v>9</v>
      </c>
      <c r="D27" s="12" t="s">
        <v>77</v>
      </c>
      <c r="E27" s="12" t="s">
        <v>82</v>
      </c>
      <c r="F27" s="12" t="s">
        <v>83</v>
      </c>
      <c r="G27" s="10" t="b">
        <f>ROUND(RPTSRES!E20,2)=ROUND('RKUS-RE'!E18,2)</f>
        <v>1</v>
      </c>
      <c r="H27" s="2"/>
    </row>
    <row r="28" spans="2:8" ht="15.75">
      <c r="B28" s="2"/>
      <c r="C28" s="12">
        <v>10</v>
      </c>
      <c r="D28" s="12" t="s">
        <v>77</v>
      </c>
      <c r="E28" s="12" t="s">
        <v>84</v>
      </c>
      <c r="F28" s="12" t="s">
        <v>85</v>
      </c>
      <c r="G28" s="10" t="b">
        <f>ROUND(RPTSRES!F20,2)=ROUND('RKUS-RE'!F18,2)</f>
        <v>1</v>
      </c>
      <c r="H28" s="2"/>
    </row>
    <row r="29" spans="2:8" ht="15.75">
      <c r="B29" s="2"/>
      <c r="C29" s="12">
        <v>11</v>
      </c>
      <c r="D29" s="12" t="s">
        <v>77</v>
      </c>
      <c r="E29" s="12" t="s">
        <v>86</v>
      </c>
      <c r="F29" s="12" t="s">
        <v>87</v>
      </c>
      <c r="G29" s="10" t="b">
        <f>ROUND(RPTSRES!E21,2)=ROUND(RKLRES!P71,2)</f>
        <v>1</v>
      </c>
      <c r="H29" s="2"/>
    </row>
    <row r="30" spans="2:8" ht="15.75">
      <c r="B30" s="2"/>
      <c r="C30" s="12">
        <v>12</v>
      </c>
      <c r="D30" s="12" t="s">
        <v>77</v>
      </c>
      <c r="E30" s="12" t="s">
        <v>88</v>
      </c>
      <c r="F30" s="12" t="s">
        <v>89</v>
      </c>
      <c r="G30" s="10" t="b">
        <f>ROUND(RPTSRES!F21,2)=ROUND(RKLRES!J71,2)</f>
        <v>1</v>
      </c>
      <c r="H30" s="2"/>
    </row>
    <row r="31" spans="2:8" ht="15.75">
      <c r="B31" s="2"/>
      <c r="C31" s="12">
        <v>13</v>
      </c>
      <c r="D31" s="12" t="s">
        <v>77</v>
      </c>
      <c r="E31" s="12" t="s">
        <v>90</v>
      </c>
      <c r="F31" s="12" t="s">
        <v>91</v>
      </c>
      <c r="G31" s="10" t="b">
        <f>ROUND(RPTSRES!E22,2)=ROUND('RPSYA-R'!F19,2)</f>
        <v>1</v>
      </c>
      <c r="H31" s="2"/>
    </row>
    <row r="32" spans="2:8" ht="15.75">
      <c r="B32" s="2"/>
      <c r="C32" s="12">
        <v>14</v>
      </c>
      <c r="D32" s="12" t="s">
        <v>77</v>
      </c>
      <c r="E32" s="12" t="s">
        <v>92</v>
      </c>
      <c r="F32" s="12" t="s">
        <v>93</v>
      </c>
      <c r="G32" s="10" t="b">
        <f>ROUND(RPTSRES!F22,2)=ROUND('RPSYA-R'!E19,2)</f>
        <v>1</v>
      </c>
      <c r="H32" s="2"/>
    </row>
    <row r="33" spans="2:8" ht="15.75">
      <c r="B33" s="2"/>
      <c r="C33" s="12">
        <v>15</v>
      </c>
      <c r="D33" s="12" t="s">
        <v>77</v>
      </c>
      <c r="E33" s="12" t="s">
        <v>94</v>
      </c>
      <c r="F33" s="12" t="s">
        <v>95</v>
      </c>
      <c r="G33" s="10" t="b">
        <f>ROUND(RPTSRES!E23,2)=ROUND('RSAS-R'!E20,2)</f>
        <v>1</v>
      </c>
      <c r="H33" s="2"/>
    </row>
    <row r="34" spans="2:8" ht="15.75">
      <c r="B34" s="2"/>
      <c r="C34" s="12">
        <v>16</v>
      </c>
      <c r="D34" s="12" t="s">
        <v>77</v>
      </c>
      <c r="E34" s="12" t="s">
        <v>96</v>
      </c>
      <c r="F34" s="12" t="s">
        <v>97</v>
      </c>
      <c r="G34" s="10" t="b">
        <f>ROUND(RPTSRES!E24,2)=ROUND('RSOS-R'!E29,2)</f>
        <v>1</v>
      </c>
      <c r="H34" s="2"/>
    </row>
    <row r="35" spans="2:8" ht="15.75">
      <c r="B35" s="2"/>
      <c r="C35" s="12">
        <v>17</v>
      </c>
      <c r="D35" s="12" t="s">
        <v>77</v>
      </c>
      <c r="E35" s="12" t="s">
        <v>98</v>
      </c>
      <c r="F35" s="12" t="s">
        <v>99</v>
      </c>
      <c r="G35" s="10" t="b">
        <f>ROUND(RPTSRES!F24,2)=ROUND('RSOS-R'!F29,2)</f>
        <v>1</v>
      </c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 ht="5.0999999999999996" customHeight="1">
      <c r="B37" s="2"/>
      <c r="C37" s="2"/>
      <c r="D37" s="2"/>
      <c r="E37" s="2"/>
      <c r="F37" s="2"/>
      <c r="G37" s="2"/>
      <c r="H37" s="2"/>
    </row>
  </sheetData>
  <sheetProtection sheet="1" formatColumns="0" formatRows="0" selectLockedCells="1"/>
  <conditionalFormatting sqref="G7">
    <cfRule type="cellIs" dxfId="53" priority="1" operator="equal">
      <formula>TRUE</formula>
    </cfRule>
    <cfRule type="cellIs" dxfId="52" priority="2" operator="equal">
      <formula>FALSE</formula>
    </cfRule>
  </conditionalFormatting>
  <conditionalFormatting sqref="G10">
    <cfRule type="cellIs" dxfId="51" priority="3" operator="equal">
      <formula>TRUE</formula>
    </cfRule>
    <cfRule type="cellIs" dxfId="50" priority="4" operator="equal">
      <formula>FALSE</formula>
    </cfRule>
  </conditionalFormatting>
  <conditionalFormatting sqref="G11">
    <cfRule type="cellIs" dxfId="49" priority="5" operator="equal">
      <formula>TRUE</formula>
    </cfRule>
    <cfRule type="cellIs" dxfId="48" priority="6" operator="equal">
      <formula>FALSE</formula>
    </cfRule>
  </conditionalFormatting>
  <conditionalFormatting sqref="G12">
    <cfRule type="cellIs" dxfId="47" priority="7" operator="equal">
      <formula>TRUE</formula>
    </cfRule>
    <cfRule type="cellIs" dxfId="46" priority="8" operator="equal">
      <formula>FALSE</formula>
    </cfRule>
  </conditionalFormatting>
  <conditionalFormatting sqref="G13">
    <cfRule type="cellIs" dxfId="45" priority="9" operator="equal">
      <formula>TRUE</formula>
    </cfRule>
    <cfRule type="cellIs" dxfId="44" priority="10" operator="equal">
      <formula>FALSE</formula>
    </cfRule>
  </conditionalFormatting>
  <conditionalFormatting sqref="G14">
    <cfRule type="cellIs" dxfId="43" priority="11" operator="equal">
      <formula>TRUE</formula>
    </cfRule>
    <cfRule type="cellIs" dxfId="42" priority="12" operator="equal">
      <formula>FALSE</formula>
    </cfRule>
  </conditionalFormatting>
  <conditionalFormatting sqref="G15">
    <cfRule type="cellIs" dxfId="41" priority="13" operator="equal">
      <formula>TRUE</formula>
    </cfRule>
    <cfRule type="cellIs" dxfId="40" priority="14" operator="equal">
      <formula>FALSE</formula>
    </cfRule>
  </conditionalFormatting>
  <conditionalFormatting sqref="G16">
    <cfRule type="cellIs" dxfId="39" priority="15" operator="equal">
      <formula>TRUE</formula>
    </cfRule>
    <cfRule type="cellIs" dxfId="38" priority="16" operator="equal">
      <formula>FALSE</formula>
    </cfRule>
  </conditionalFormatting>
  <conditionalFormatting sqref="G17">
    <cfRule type="cellIs" dxfId="37" priority="17" operator="equal">
      <formula>TRUE</formula>
    </cfRule>
    <cfRule type="cellIs" dxfId="36" priority="18" operator="equal">
      <formula>FALSE</formula>
    </cfRule>
  </conditionalFormatting>
  <conditionalFormatting sqref="G18">
    <cfRule type="cellIs" dxfId="35" priority="19" operator="equal">
      <formula>TRUE</formula>
    </cfRule>
    <cfRule type="cellIs" dxfId="34" priority="20" operator="equal">
      <formula>FALSE</formula>
    </cfRule>
  </conditionalFormatting>
  <conditionalFormatting sqref="G19">
    <cfRule type="cellIs" dxfId="33" priority="21" operator="equal">
      <formula>TRUE</formula>
    </cfRule>
    <cfRule type="cellIs" dxfId="32" priority="22" operator="equal">
      <formula>FALSE</formula>
    </cfRule>
  </conditionalFormatting>
  <conditionalFormatting sqref="G20">
    <cfRule type="cellIs" dxfId="31" priority="23" operator="equal">
      <formula>TRUE</formula>
    </cfRule>
    <cfRule type="cellIs" dxfId="30" priority="24" operator="equal">
      <formula>FALSE</formula>
    </cfRule>
  </conditionalFormatting>
  <conditionalFormatting sqref="G21">
    <cfRule type="cellIs" dxfId="29" priority="25" operator="equal">
      <formula>TRUE</formula>
    </cfRule>
    <cfRule type="cellIs" dxfId="28" priority="26" operator="equal">
      <formula>FALSE</formula>
    </cfRule>
  </conditionalFormatting>
  <conditionalFormatting sqref="G22">
    <cfRule type="cellIs" dxfId="27" priority="27" operator="equal">
      <formula>TRUE</formula>
    </cfRule>
    <cfRule type="cellIs" dxfId="26" priority="28" operator="equal">
      <formula>FALSE</formula>
    </cfRule>
  </conditionalFormatting>
  <conditionalFormatting sqref="G23">
    <cfRule type="cellIs" dxfId="25" priority="29" operator="equal">
      <formula>TRUE</formula>
    </cfRule>
    <cfRule type="cellIs" dxfId="24" priority="30" operator="equal">
      <formula>FALSE</formula>
    </cfRule>
  </conditionalFormatting>
  <conditionalFormatting sqref="G24">
    <cfRule type="cellIs" dxfId="23" priority="31" operator="equal">
      <formula>TRUE</formula>
    </cfRule>
    <cfRule type="cellIs" dxfId="22" priority="32" operator="equal">
      <formula>FALSE</formula>
    </cfRule>
  </conditionalFormatting>
  <conditionalFormatting sqref="G25">
    <cfRule type="cellIs" dxfId="21" priority="33" operator="equal">
      <formula>TRUE</formula>
    </cfRule>
    <cfRule type="cellIs" dxfId="20" priority="34" operator="equal">
      <formula>FALSE</formula>
    </cfRule>
  </conditionalFormatting>
  <conditionalFormatting sqref="G26">
    <cfRule type="cellIs" dxfId="19" priority="35" operator="equal">
      <formula>TRUE</formula>
    </cfRule>
    <cfRule type="cellIs" dxfId="18" priority="36" operator="equal">
      <formula>FALSE</formula>
    </cfRule>
  </conditionalFormatting>
  <conditionalFormatting sqref="G27">
    <cfRule type="cellIs" dxfId="17" priority="37" operator="equal">
      <formula>TRUE</formula>
    </cfRule>
    <cfRule type="cellIs" dxfId="16" priority="38" operator="equal">
      <formula>FALSE</formula>
    </cfRule>
  </conditionalFormatting>
  <conditionalFormatting sqref="G28">
    <cfRule type="cellIs" dxfId="15" priority="39" operator="equal">
      <formula>TRUE</formula>
    </cfRule>
    <cfRule type="cellIs" dxfId="14" priority="40" operator="equal">
      <formula>FALSE</formula>
    </cfRule>
  </conditionalFormatting>
  <conditionalFormatting sqref="G29">
    <cfRule type="cellIs" dxfId="13" priority="41" operator="equal">
      <formula>TRUE</formula>
    </cfRule>
    <cfRule type="cellIs" dxfId="12" priority="42" operator="equal">
      <formula>FALSE</formula>
    </cfRule>
  </conditionalFormatting>
  <conditionalFormatting sqref="G30">
    <cfRule type="cellIs" dxfId="11" priority="43" operator="equal">
      <formula>TRUE</formula>
    </cfRule>
    <cfRule type="cellIs" dxfId="10" priority="44" operator="equal">
      <formula>FALSE</formula>
    </cfRule>
  </conditionalFormatting>
  <conditionalFormatting sqref="G31">
    <cfRule type="cellIs" dxfId="9" priority="45" operator="equal">
      <formula>TRUE</formula>
    </cfRule>
    <cfRule type="cellIs" dxfId="8" priority="46" operator="equal">
      <formula>FALSE</formula>
    </cfRule>
  </conditionalFormatting>
  <conditionalFormatting sqref="G32">
    <cfRule type="cellIs" dxfId="7" priority="47" operator="equal">
      <formula>TRUE</formula>
    </cfRule>
    <cfRule type="cellIs" dxfId="6" priority="48" operator="equal">
      <formula>FALSE</formula>
    </cfRule>
  </conditionalFormatting>
  <conditionalFormatting sqref="G33">
    <cfRule type="cellIs" dxfId="5" priority="49" operator="equal">
      <formula>TRUE</formula>
    </cfRule>
    <cfRule type="cellIs" dxfId="4" priority="50" operator="equal">
      <formula>FALSE</formula>
    </cfRule>
  </conditionalFormatting>
  <conditionalFormatting sqref="G34">
    <cfRule type="cellIs" dxfId="3" priority="51" operator="equal">
      <formula>TRUE</formula>
    </cfRule>
    <cfRule type="cellIs" dxfId="2" priority="52" operator="equal">
      <formula>FALSE</formula>
    </cfRule>
  </conditionalFormatting>
  <conditionalFormatting sqref="G35">
    <cfRule type="cellIs" dxfId="1" priority="53" operator="equal">
      <formula>TRUE</formula>
    </cfRule>
    <cfRule type="cellIs" dxfId="0" priority="54" operator="equal">
      <formula>FALSE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9" t="s">
        <v>640</v>
      </c>
      <c r="C2" s="2"/>
      <c r="D2" s="2"/>
      <c r="E2" s="2"/>
      <c r="F2" s="2"/>
    </row>
    <row r="3" spans="2:6" hidden="1">
      <c r="B3" s="9" t="s">
        <v>8</v>
      </c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7.25">
      <c r="B7" s="2"/>
      <c r="C7" s="45" t="str">
        <f>UPPER('Data Umum'!D7)</f>
        <v/>
      </c>
      <c r="D7" s="45"/>
      <c r="E7" s="45"/>
      <c r="F7" s="2"/>
    </row>
    <row r="8" spans="2:6">
      <c r="B8" s="2"/>
      <c r="C8" s="2"/>
      <c r="D8" s="2"/>
      <c r="E8" s="2"/>
      <c r="F8" s="2"/>
    </row>
    <row r="9" spans="2:6">
      <c r="B9" s="2"/>
      <c r="C9" s="46" t="s">
        <v>641</v>
      </c>
      <c r="D9" s="46"/>
      <c r="E9" s="46"/>
      <c r="F9" s="2"/>
    </row>
    <row r="10" spans="2:6">
      <c r="B10" s="2"/>
      <c r="C10" s="46" t="s">
        <v>642</v>
      </c>
      <c r="D10" s="46"/>
      <c r="E10" s="46"/>
      <c r="F10" s="2"/>
    </row>
    <row r="11" spans="2:6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2"/>
    </row>
    <row r="12" spans="2:6" hidden="1">
      <c r="B12" s="2"/>
      <c r="C12" s="2"/>
      <c r="D12" s="2"/>
      <c r="E12" s="2"/>
      <c r="F12" s="2"/>
    </row>
    <row r="13" spans="2:6">
      <c r="B13" s="2"/>
      <c r="C13" s="48" t="s">
        <v>232</v>
      </c>
      <c r="D13" s="48"/>
      <c r="E13" s="48"/>
      <c r="F13" s="2"/>
    </row>
    <row r="14" spans="2:6">
      <c r="B14" s="2"/>
      <c r="C14" s="40" t="s">
        <v>236</v>
      </c>
      <c r="D14" s="38"/>
      <c r="E14" s="43" t="str">
        <f>"Jumlah Deviasi"</f>
        <v>Jumlah Deviasi</v>
      </c>
      <c r="F14" s="2"/>
    </row>
    <row r="15" spans="2:6">
      <c r="B15" s="2"/>
      <c r="C15" s="41"/>
      <c r="D15" s="42"/>
      <c r="E15" s="44"/>
      <c r="F15" s="2"/>
    </row>
    <row r="16" spans="2:6">
      <c r="B16" s="2"/>
      <c r="C16" s="37" t="s">
        <v>643</v>
      </c>
      <c r="D16" s="38"/>
      <c r="E16" s="18">
        <f>'RSAS1-R'!G30</f>
        <v>0</v>
      </c>
      <c r="F16" s="2"/>
    </row>
    <row r="17" spans="2:6">
      <c r="B17" s="2"/>
      <c r="C17" s="37" t="s">
        <v>644</v>
      </c>
      <c r="D17" s="38"/>
      <c r="E17" s="18">
        <f>'RSAS2-R'!H30</f>
        <v>0</v>
      </c>
      <c r="F17" s="2"/>
    </row>
    <row r="18" spans="2:6">
      <c r="B18" s="2"/>
      <c r="C18" s="37" t="s">
        <v>645</v>
      </c>
      <c r="D18" s="38"/>
      <c r="E18" s="18">
        <f>'RSAS3-R'!H30</f>
        <v>0</v>
      </c>
      <c r="F18" s="2"/>
    </row>
    <row r="19" spans="2:6">
      <c r="B19" s="2"/>
      <c r="C19" s="37" t="s">
        <v>646</v>
      </c>
      <c r="D19" s="38"/>
      <c r="E19" s="18">
        <f>'RSAS4-R'!H30</f>
        <v>0</v>
      </c>
      <c r="F19" s="2"/>
    </row>
    <row r="20" spans="2:6">
      <c r="B20" s="2"/>
      <c r="C20" s="37" t="s">
        <v>647</v>
      </c>
      <c r="D20" s="38"/>
      <c r="E20" s="18">
        <f>SUM(E16:E19)</f>
        <v>0</v>
      </c>
      <c r="F20" s="2"/>
    </row>
    <row r="21" spans="2:6">
      <c r="B21" s="2"/>
      <c r="C21" s="2"/>
      <c r="D21" s="2"/>
      <c r="E21" s="2"/>
      <c r="F21" s="2"/>
    </row>
    <row r="22" spans="2:6" ht="5.0999999999999996" customHeight="1">
      <c r="B22" s="2"/>
      <c r="C22" s="2"/>
      <c r="D22" s="2"/>
      <c r="E22" s="2"/>
      <c r="F22" s="2"/>
    </row>
  </sheetData>
  <sheetProtection sheet="1" formatColumns="0" formatRows="0" selectLockedCells="1"/>
  <mergeCells count="12">
    <mergeCell ref="C7:E7"/>
    <mergeCell ref="C9:E9"/>
    <mergeCell ref="C10:E10"/>
    <mergeCell ref="C11:E11"/>
    <mergeCell ref="C13:E13"/>
    <mergeCell ref="C19:D19"/>
    <mergeCell ref="C20:D20"/>
    <mergeCell ref="C14:D15"/>
    <mergeCell ref="E14:E15"/>
    <mergeCell ref="C16:D16"/>
    <mergeCell ref="C17:D17"/>
    <mergeCell ref="C18:D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648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641</v>
      </c>
      <c r="D9" s="46"/>
      <c r="E9" s="46"/>
      <c r="F9" s="46"/>
      <c r="G9" s="46"/>
      <c r="H9" s="2"/>
    </row>
    <row r="10" spans="2:8">
      <c r="B10" s="2"/>
      <c r="C10" s="46" t="s">
        <v>649</v>
      </c>
      <c r="D10" s="46"/>
      <c r="E10" s="46"/>
      <c r="F10" s="46"/>
      <c r="G10" s="46"/>
      <c r="H10" s="2"/>
    </row>
    <row r="11" spans="2: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 t="s">
        <v>232</v>
      </c>
      <c r="D13" s="48"/>
      <c r="E13" s="48"/>
      <c r="F13" s="48"/>
      <c r="G13" s="48"/>
      <c r="H13" s="2"/>
    </row>
    <row r="14" spans="2:8">
      <c r="B14" s="2"/>
      <c r="C14" s="40"/>
      <c r="D14" s="38"/>
      <c r="E14" s="43" t="str">
        <f>"PK"</f>
        <v>PK</v>
      </c>
      <c r="F14" s="43" t="str">
        <f>"PK*"</f>
        <v>PK*</v>
      </c>
      <c r="G14" s="43" t="str">
        <f>"Jumlah Deviasi"</f>
        <v>Jumlah Deviasi</v>
      </c>
      <c r="H14" s="2"/>
    </row>
    <row r="15" spans="2:8">
      <c r="B15" s="2"/>
      <c r="C15" s="41"/>
      <c r="D15" s="42"/>
      <c r="E15" s="44"/>
      <c r="F15" s="44"/>
      <c r="G15" s="44"/>
      <c r="H15" s="2"/>
    </row>
    <row r="16" spans="2:8">
      <c r="B16" s="2"/>
      <c r="C16" s="37" t="s">
        <v>650</v>
      </c>
      <c r="D16" s="38"/>
      <c r="E16" s="51">
        <v>0</v>
      </c>
      <c r="F16" s="51">
        <v>0</v>
      </c>
      <c r="G16" s="18">
        <f t="shared" ref="G16:G30" si="0">MAX((F16-E16),0)</f>
        <v>0</v>
      </c>
      <c r="H16" s="2"/>
    </row>
    <row r="17" spans="2:8">
      <c r="B17" s="2"/>
      <c r="C17" s="37" t="s">
        <v>651</v>
      </c>
      <c r="D17" s="38"/>
      <c r="E17" s="51">
        <v>0</v>
      </c>
      <c r="F17" s="51">
        <v>0</v>
      </c>
      <c r="G17" s="18">
        <f t="shared" si="0"/>
        <v>0</v>
      </c>
      <c r="H17" s="2"/>
    </row>
    <row r="18" spans="2:8">
      <c r="B18" s="2"/>
      <c r="C18" s="37" t="s">
        <v>652</v>
      </c>
      <c r="D18" s="38"/>
      <c r="E18" s="51">
        <v>0</v>
      </c>
      <c r="F18" s="51">
        <v>0</v>
      </c>
      <c r="G18" s="18">
        <f t="shared" si="0"/>
        <v>0</v>
      </c>
      <c r="H18" s="2"/>
    </row>
    <row r="19" spans="2:8">
      <c r="B19" s="2"/>
      <c r="C19" s="37" t="s">
        <v>653</v>
      </c>
      <c r="D19" s="38"/>
      <c r="E19" s="51">
        <v>0</v>
      </c>
      <c r="F19" s="51">
        <v>0</v>
      </c>
      <c r="G19" s="18">
        <f t="shared" si="0"/>
        <v>0</v>
      </c>
      <c r="H19" s="2"/>
    </row>
    <row r="20" spans="2:8">
      <c r="B20" s="2"/>
      <c r="C20" s="37" t="s">
        <v>654</v>
      </c>
      <c r="D20" s="38"/>
      <c r="E20" s="51">
        <v>0</v>
      </c>
      <c r="F20" s="51">
        <v>0</v>
      </c>
      <c r="G20" s="18">
        <f t="shared" si="0"/>
        <v>0</v>
      </c>
      <c r="H20" s="2"/>
    </row>
    <row r="21" spans="2:8">
      <c r="B21" s="2"/>
      <c r="C21" s="37" t="s">
        <v>655</v>
      </c>
      <c r="D21" s="38"/>
      <c r="E21" s="51">
        <v>0</v>
      </c>
      <c r="F21" s="51">
        <v>0</v>
      </c>
      <c r="G21" s="18">
        <f t="shared" si="0"/>
        <v>0</v>
      </c>
      <c r="H21" s="2"/>
    </row>
    <row r="22" spans="2:8">
      <c r="B22" s="2"/>
      <c r="C22" s="37" t="s">
        <v>656</v>
      </c>
      <c r="D22" s="38"/>
      <c r="E22" s="51">
        <v>0</v>
      </c>
      <c r="F22" s="51">
        <v>0</v>
      </c>
      <c r="G22" s="18">
        <f t="shared" si="0"/>
        <v>0</v>
      </c>
      <c r="H22" s="2"/>
    </row>
    <row r="23" spans="2:8">
      <c r="B23" s="2"/>
      <c r="C23" s="37" t="s">
        <v>657</v>
      </c>
      <c r="D23" s="38"/>
      <c r="E23" s="51">
        <v>0</v>
      </c>
      <c r="F23" s="51">
        <v>0</v>
      </c>
      <c r="G23" s="18">
        <f t="shared" si="0"/>
        <v>0</v>
      </c>
      <c r="H23" s="2"/>
    </row>
    <row r="24" spans="2:8">
      <c r="B24" s="2"/>
      <c r="C24" s="37" t="s">
        <v>658</v>
      </c>
      <c r="D24" s="38"/>
      <c r="E24" s="51">
        <v>0</v>
      </c>
      <c r="F24" s="51">
        <v>0</v>
      </c>
      <c r="G24" s="18">
        <f t="shared" si="0"/>
        <v>0</v>
      </c>
      <c r="H24" s="2"/>
    </row>
    <row r="25" spans="2:8">
      <c r="B25" s="2"/>
      <c r="C25" s="37" t="s">
        <v>659</v>
      </c>
      <c r="D25" s="38"/>
      <c r="E25" s="51">
        <v>0</v>
      </c>
      <c r="F25" s="51">
        <v>0</v>
      </c>
      <c r="G25" s="18">
        <f t="shared" si="0"/>
        <v>0</v>
      </c>
      <c r="H25" s="2"/>
    </row>
    <row r="26" spans="2:8">
      <c r="B26" s="2"/>
      <c r="C26" s="37" t="s">
        <v>660</v>
      </c>
      <c r="D26" s="38"/>
      <c r="E26" s="51">
        <v>0</v>
      </c>
      <c r="F26" s="51">
        <v>0</v>
      </c>
      <c r="G26" s="18">
        <f t="shared" si="0"/>
        <v>0</v>
      </c>
      <c r="H26" s="2"/>
    </row>
    <row r="27" spans="2:8">
      <c r="B27" s="2"/>
      <c r="C27" s="37" t="s">
        <v>661</v>
      </c>
      <c r="D27" s="38"/>
      <c r="E27" s="51">
        <v>0</v>
      </c>
      <c r="F27" s="51">
        <v>0</v>
      </c>
      <c r="G27" s="18">
        <f t="shared" si="0"/>
        <v>0</v>
      </c>
      <c r="H27" s="2"/>
    </row>
    <row r="28" spans="2:8">
      <c r="B28" s="2"/>
      <c r="C28" s="37" t="s">
        <v>662</v>
      </c>
      <c r="D28" s="38"/>
      <c r="E28" s="51">
        <v>0</v>
      </c>
      <c r="F28" s="51">
        <v>0</v>
      </c>
      <c r="G28" s="18">
        <f t="shared" si="0"/>
        <v>0</v>
      </c>
      <c r="H28" s="2"/>
    </row>
    <row r="29" spans="2:8">
      <c r="B29" s="2"/>
      <c r="C29" s="37" t="s">
        <v>663</v>
      </c>
      <c r="D29" s="38"/>
      <c r="E29" s="51">
        <v>0</v>
      </c>
      <c r="F29" s="51">
        <v>0</v>
      </c>
      <c r="G29" s="18">
        <f t="shared" si="0"/>
        <v>0</v>
      </c>
      <c r="H29" s="2"/>
    </row>
    <row r="30" spans="2:8">
      <c r="B30" s="2"/>
      <c r="C30" s="37" t="s">
        <v>643</v>
      </c>
      <c r="D30" s="38"/>
      <c r="E30" s="18">
        <f>SUM(E16:E29)</f>
        <v>0</v>
      </c>
      <c r="F30" s="18">
        <f>SUM(F16:F29)</f>
        <v>0</v>
      </c>
      <c r="G30" s="21">
        <f t="shared" si="0"/>
        <v>0</v>
      </c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 ht="5.0999999999999996" customHeight="1">
      <c r="B32" s="2"/>
      <c r="C32" s="2"/>
      <c r="D32" s="2"/>
      <c r="E32" s="2"/>
      <c r="F32" s="2"/>
      <c r="G32" s="2"/>
      <c r="H32" s="2"/>
    </row>
  </sheetData>
  <sheetProtection sheet="1" formatColumns="0" formatRows="0" selectLockedCells="1"/>
  <mergeCells count="52">
    <mergeCell ref="C7:G7"/>
    <mergeCell ref="C9:G9"/>
    <mergeCell ref="C10:G10"/>
    <mergeCell ref="C11:G11"/>
    <mergeCell ref="C13:G13"/>
    <mergeCell ref="C14:D15"/>
    <mergeCell ref="E14:E15"/>
    <mergeCell ref="F14:F15"/>
    <mergeCell ref="G14:G15"/>
    <mergeCell ref="C16:D16"/>
    <mergeCell ref="E16"/>
    <mergeCell ref="F16"/>
    <mergeCell ref="C17:D17"/>
    <mergeCell ref="E17"/>
    <mergeCell ref="F17"/>
    <mergeCell ref="C18:D18"/>
    <mergeCell ref="E18"/>
    <mergeCell ref="F18"/>
    <mergeCell ref="C19:D19"/>
    <mergeCell ref="E19"/>
    <mergeCell ref="F19"/>
    <mergeCell ref="C20:D20"/>
    <mergeCell ref="E20"/>
    <mergeCell ref="F20"/>
    <mergeCell ref="C21:D21"/>
    <mergeCell ref="E21"/>
    <mergeCell ref="F21"/>
    <mergeCell ref="C22:D22"/>
    <mergeCell ref="E22"/>
    <mergeCell ref="F22"/>
    <mergeCell ref="C23:D23"/>
    <mergeCell ref="E23"/>
    <mergeCell ref="F23"/>
    <mergeCell ref="C24:D24"/>
    <mergeCell ref="E24"/>
    <mergeCell ref="F24"/>
    <mergeCell ref="C25:D25"/>
    <mergeCell ref="E25"/>
    <mergeCell ref="F25"/>
    <mergeCell ref="C26:D26"/>
    <mergeCell ref="E26"/>
    <mergeCell ref="F26"/>
    <mergeCell ref="C29:D29"/>
    <mergeCell ref="E29"/>
    <mergeCell ref="F29"/>
    <mergeCell ref="C30:D30"/>
    <mergeCell ref="C27:D27"/>
    <mergeCell ref="E27"/>
    <mergeCell ref="F27"/>
    <mergeCell ref="C28:D28"/>
    <mergeCell ref="E28"/>
    <mergeCell ref="F28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664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560</v>
      </c>
      <c r="D9" s="46"/>
      <c r="E9" s="46"/>
      <c r="F9" s="46"/>
      <c r="G9" s="46"/>
      <c r="H9" s="46"/>
      <c r="I9" s="2"/>
    </row>
    <row r="10" spans="2:9">
      <c r="B10" s="2"/>
      <c r="C10" s="46" t="s">
        <v>665</v>
      </c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 t="s">
        <v>232</v>
      </c>
      <c r="D13" s="48"/>
      <c r="E13" s="48"/>
      <c r="F13" s="48"/>
      <c r="G13" s="48"/>
      <c r="H13" s="48"/>
      <c r="I13" s="2"/>
    </row>
    <row r="14" spans="2:9">
      <c r="B14" s="2"/>
      <c r="C14" s="40"/>
      <c r="D14" s="38"/>
      <c r="E14" s="43" t="str">
        <f>"PAKYBMP"</f>
        <v>PAKYBMP</v>
      </c>
      <c r="F14" s="43" t="str">
        <f>"AR"</f>
        <v>AR</v>
      </c>
      <c r="G14" s="43" t="str">
        <f>"fpk"</f>
        <v>fpk</v>
      </c>
      <c r="H14" s="43" t="str">
        <f>"Jumlah Deviasi PAKYBMP ((2) - (3)) x (4)"</f>
        <v>Jumlah Deviasi PAKYBMP ((2) - (3)) x (4)</v>
      </c>
      <c r="I14" s="2"/>
    </row>
    <row r="15" spans="2:9">
      <c r="B15" s="2"/>
      <c r="C15" s="41"/>
      <c r="D15" s="42"/>
      <c r="E15" s="44"/>
      <c r="F15" s="44"/>
      <c r="G15" s="44"/>
      <c r="H15" s="44"/>
      <c r="I15" s="2"/>
    </row>
    <row r="16" spans="2:9">
      <c r="B16" s="2"/>
      <c r="C16" s="37" t="s">
        <v>650</v>
      </c>
      <c r="D16" s="38"/>
      <c r="E16" s="51">
        <v>0</v>
      </c>
      <c r="F16" s="51">
        <v>0</v>
      </c>
      <c r="G16" s="24">
        <f>0.25</f>
        <v>0.25</v>
      </c>
      <c r="H16" s="18">
        <f t="shared" ref="H16:H29" si="0">(E16-F16)*G16</f>
        <v>0</v>
      </c>
      <c r="I16" s="2"/>
    </row>
    <row r="17" spans="2:9">
      <c r="B17" s="2"/>
      <c r="C17" s="37" t="s">
        <v>651</v>
      </c>
      <c r="D17" s="38"/>
      <c r="E17" s="51">
        <v>0</v>
      </c>
      <c r="F17" s="51">
        <v>0</v>
      </c>
      <c r="G17" s="24">
        <f>0.25</f>
        <v>0.25</v>
      </c>
      <c r="H17" s="18">
        <f t="shared" si="0"/>
        <v>0</v>
      </c>
      <c r="I17" s="2"/>
    </row>
    <row r="18" spans="2:9">
      <c r="B18" s="2"/>
      <c r="C18" s="37" t="s">
        <v>652</v>
      </c>
      <c r="D18" s="38"/>
      <c r="E18" s="51">
        <v>0</v>
      </c>
      <c r="F18" s="51">
        <v>0</v>
      </c>
      <c r="G18" s="24">
        <f>0.3</f>
        <v>0.3</v>
      </c>
      <c r="H18" s="18">
        <f t="shared" si="0"/>
        <v>0</v>
      </c>
      <c r="I18" s="2"/>
    </row>
    <row r="19" spans="2:9">
      <c r="B19" s="2"/>
      <c r="C19" s="37" t="s">
        <v>653</v>
      </c>
      <c r="D19" s="38"/>
      <c r="E19" s="51">
        <v>0</v>
      </c>
      <c r="F19" s="51">
        <v>0</v>
      </c>
      <c r="G19" s="24">
        <f>0.3</f>
        <v>0.3</v>
      </c>
      <c r="H19" s="18">
        <f t="shared" si="0"/>
        <v>0</v>
      </c>
      <c r="I19" s="2"/>
    </row>
    <row r="20" spans="2:9">
      <c r="B20" s="2"/>
      <c r="C20" s="37" t="s">
        <v>654</v>
      </c>
      <c r="D20" s="38"/>
      <c r="E20" s="51">
        <v>0</v>
      </c>
      <c r="F20" s="51">
        <v>0</v>
      </c>
      <c r="G20" s="24">
        <f>0.3</f>
        <v>0.3</v>
      </c>
      <c r="H20" s="18">
        <f t="shared" si="0"/>
        <v>0</v>
      </c>
      <c r="I20" s="2"/>
    </row>
    <row r="21" spans="2:9">
      <c r="B21" s="2"/>
      <c r="C21" s="37" t="s">
        <v>655</v>
      </c>
      <c r="D21" s="38"/>
      <c r="E21" s="51">
        <v>0</v>
      </c>
      <c r="F21" s="51">
        <v>0</v>
      </c>
      <c r="G21" s="24">
        <f>0.25</f>
        <v>0.25</v>
      </c>
      <c r="H21" s="18">
        <f t="shared" si="0"/>
        <v>0</v>
      </c>
      <c r="I21" s="2"/>
    </row>
    <row r="22" spans="2:9">
      <c r="B22" s="2"/>
      <c r="C22" s="37" t="s">
        <v>656</v>
      </c>
      <c r="D22" s="38"/>
      <c r="E22" s="51">
        <v>0</v>
      </c>
      <c r="F22" s="51">
        <v>0</v>
      </c>
      <c r="G22" s="24">
        <f>0.35</f>
        <v>0.35</v>
      </c>
      <c r="H22" s="18">
        <f t="shared" si="0"/>
        <v>0</v>
      </c>
      <c r="I22" s="2"/>
    </row>
    <row r="23" spans="2:9">
      <c r="B23" s="2"/>
      <c r="C23" s="37" t="s">
        <v>657</v>
      </c>
      <c r="D23" s="38"/>
      <c r="E23" s="51">
        <v>0</v>
      </c>
      <c r="F23" s="51">
        <v>0</v>
      </c>
      <c r="G23" s="24">
        <f>0.35</f>
        <v>0.35</v>
      </c>
      <c r="H23" s="18">
        <f t="shared" si="0"/>
        <v>0</v>
      </c>
      <c r="I23" s="2"/>
    </row>
    <row r="24" spans="2:9">
      <c r="B24" s="2"/>
      <c r="C24" s="37" t="s">
        <v>658</v>
      </c>
      <c r="D24" s="38"/>
      <c r="E24" s="51">
        <v>0</v>
      </c>
      <c r="F24" s="51">
        <v>0</v>
      </c>
      <c r="G24" s="24">
        <f>0.25</f>
        <v>0.25</v>
      </c>
      <c r="H24" s="18">
        <f t="shared" si="0"/>
        <v>0</v>
      </c>
      <c r="I24" s="2"/>
    </row>
    <row r="25" spans="2:9">
      <c r="B25" s="2"/>
      <c r="C25" s="37" t="s">
        <v>659</v>
      </c>
      <c r="D25" s="38"/>
      <c r="E25" s="51">
        <v>0</v>
      </c>
      <c r="F25" s="51">
        <v>0</v>
      </c>
      <c r="G25" s="24">
        <f>0.35</f>
        <v>0.35</v>
      </c>
      <c r="H25" s="18">
        <f t="shared" si="0"/>
        <v>0</v>
      </c>
      <c r="I25" s="2"/>
    </row>
    <row r="26" spans="2:9">
      <c r="B26" s="2"/>
      <c r="C26" s="37" t="s">
        <v>660</v>
      </c>
      <c r="D26" s="38"/>
      <c r="E26" s="51">
        <v>0</v>
      </c>
      <c r="F26" s="51">
        <v>0</v>
      </c>
      <c r="G26" s="24">
        <f>0.25</f>
        <v>0.25</v>
      </c>
      <c r="H26" s="18">
        <f t="shared" si="0"/>
        <v>0</v>
      </c>
      <c r="I26" s="2"/>
    </row>
    <row r="27" spans="2:9">
      <c r="B27" s="2"/>
      <c r="C27" s="37" t="s">
        <v>661</v>
      </c>
      <c r="D27" s="38"/>
      <c r="E27" s="51">
        <v>0</v>
      </c>
      <c r="F27" s="51">
        <v>0</v>
      </c>
      <c r="G27" s="24">
        <f>0.25</f>
        <v>0.25</v>
      </c>
      <c r="H27" s="18">
        <f t="shared" si="0"/>
        <v>0</v>
      </c>
      <c r="I27" s="2"/>
    </row>
    <row r="28" spans="2:9">
      <c r="B28" s="2"/>
      <c r="C28" s="37" t="s">
        <v>662</v>
      </c>
      <c r="D28" s="38"/>
      <c r="E28" s="51">
        <v>0</v>
      </c>
      <c r="F28" s="51">
        <v>0</v>
      </c>
      <c r="G28" s="24">
        <f>0.25</f>
        <v>0.25</v>
      </c>
      <c r="H28" s="18">
        <f t="shared" si="0"/>
        <v>0</v>
      </c>
      <c r="I28" s="2"/>
    </row>
    <row r="29" spans="2:9">
      <c r="B29" s="2"/>
      <c r="C29" s="37" t="s">
        <v>663</v>
      </c>
      <c r="D29" s="38"/>
      <c r="E29" s="51">
        <v>0</v>
      </c>
      <c r="F29" s="51">
        <v>0</v>
      </c>
      <c r="G29" s="24">
        <f>0.1</f>
        <v>0.1</v>
      </c>
      <c r="H29" s="18">
        <f t="shared" si="0"/>
        <v>0</v>
      </c>
      <c r="I29" s="2"/>
    </row>
    <row r="30" spans="2:9">
      <c r="B30" s="2"/>
      <c r="C30" s="37" t="s">
        <v>666</v>
      </c>
      <c r="D30" s="38"/>
      <c r="E30" s="18">
        <f>SUM(E16:E29)</f>
        <v>0</v>
      </c>
      <c r="F30" s="18">
        <f>SUM(F16:F29)</f>
        <v>0</v>
      </c>
      <c r="G30" s="21" t="str">
        <f>""</f>
        <v/>
      </c>
      <c r="H30" s="21">
        <f>SUM(H16:H29)</f>
        <v>0</v>
      </c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 ht="5.0999999999999996" customHeight="1">
      <c r="B32" s="2"/>
      <c r="C32" s="2"/>
      <c r="D32" s="2"/>
      <c r="E32" s="2"/>
      <c r="F32" s="2"/>
      <c r="G32" s="2"/>
      <c r="H32" s="2"/>
      <c r="I32" s="2"/>
    </row>
  </sheetData>
  <sheetProtection sheet="1" formatColumns="0" formatRows="0" selectLockedCells="1"/>
  <mergeCells count="53">
    <mergeCell ref="C7:H7"/>
    <mergeCell ref="C9:H9"/>
    <mergeCell ref="C10:H10"/>
    <mergeCell ref="C11:H11"/>
    <mergeCell ref="C13:H13"/>
    <mergeCell ref="C14:D15"/>
    <mergeCell ref="E14:E15"/>
    <mergeCell ref="F14:F15"/>
    <mergeCell ref="G14:G15"/>
    <mergeCell ref="H14:H15"/>
    <mergeCell ref="C16:D16"/>
    <mergeCell ref="E16"/>
    <mergeCell ref="F16"/>
    <mergeCell ref="C17:D17"/>
    <mergeCell ref="E17"/>
    <mergeCell ref="F17"/>
    <mergeCell ref="C18:D18"/>
    <mergeCell ref="E18"/>
    <mergeCell ref="F18"/>
    <mergeCell ref="C19:D19"/>
    <mergeCell ref="E19"/>
    <mergeCell ref="F19"/>
    <mergeCell ref="C20:D20"/>
    <mergeCell ref="E20"/>
    <mergeCell ref="F20"/>
    <mergeCell ref="C21:D21"/>
    <mergeCell ref="E21"/>
    <mergeCell ref="F21"/>
    <mergeCell ref="C22:D22"/>
    <mergeCell ref="E22"/>
    <mergeCell ref="F22"/>
    <mergeCell ref="C23:D23"/>
    <mergeCell ref="E23"/>
    <mergeCell ref="F23"/>
    <mergeCell ref="C24:D24"/>
    <mergeCell ref="E24"/>
    <mergeCell ref="F24"/>
    <mergeCell ref="C25:D25"/>
    <mergeCell ref="E25"/>
    <mergeCell ref="F25"/>
    <mergeCell ref="C26:D26"/>
    <mergeCell ref="E26"/>
    <mergeCell ref="F26"/>
    <mergeCell ref="C27:D27"/>
    <mergeCell ref="E27"/>
    <mergeCell ref="F27"/>
    <mergeCell ref="C30:D30"/>
    <mergeCell ref="C28:D28"/>
    <mergeCell ref="E28"/>
    <mergeCell ref="F28"/>
    <mergeCell ref="C29:D29"/>
    <mergeCell ref="E29"/>
    <mergeCell ref="F29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667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560</v>
      </c>
      <c r="D9" s="46"/>
      <c r="E9" s="46"/>
      <c r="F9" s="46"/>
      <c r="G9" s="46"/>
      <c r="H9" s="46"/>
      <c r="I9" s="2"/>
    </row>
    <row r="10" spans="2:9">
      <c r="B10" s="2"/>
      <c r="C10" s="46" t="s">
        <v>668</v>
      </c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 t="s">
        <v>232</v>
      </c>
      <c r="D13" s="48"/>
      <c r="E13" s="48"/>
      <c r="F13" s="48"/>
      <c r="G13" s="48"/>
      <c r="H13" s="48"/>
      <c r="I13" s="2"/>
    </row>
    <row r="14" spans="2:9">
      <c r="B14" s="2"/>
      <c r="C14" s="40"/>
      <c r="D14" s="38"/>
      <c r="E14" s="43" t="str">
        <f>"Penyisihan Klaim"</f>
        <v>Penyisihan Klaim</v>
      </c>
      <c r="F14" s="43" t="str">
        <f>"AR"</f>
        <v>AR</v>
      </c>
      <c r="G14" s="43" t="str">
        <f>"fpk"</f>
        <v>fpk</v>
      </c>
      <c r="H14" s="43" t="str">
        <f>"Jumlah Deviasi Penyisihan Klaim ((2) - (3)) x (4)"</f>
        <v>Jumlah Deviasi Penyisihan Klaim ((2) - (3)) x (4)</v>
      </c>
      <c r="I14" s="2"/>
    </row>
    <row r="15" spans="2:9">
      <c r="B15" s="2"/>
      <c r="C15" s="41"/>
      <c r="D15" s="42"/>
      <c r="E15" s="44"/>
      <c r="F15" s="44"/>
      <c r="G15" s="44"/>
      <c r="H15" s="44"/>
      <c r="I15" s="2"/>
    </row>
    <row r="16" spans="2:9">
      <c r="B16" s="2"/>
      <c r="C16" s="37" t="s">
        <v>650</v>
      </c>
      <c r="D16" s="38"/>
      <c r="E16" s="51">
        <v>0</v>
      </c>
      <c r="F16" s="51">
        <v>0</v>
      </c>
      <c r="G16" s="24">
        <f>0.2</f>
        <v>0.2</v>
      </c>
      <c r="H16" s="18">
        <f t="shared" ref="H16:H29" si="0">(E16-F16)*G16</f>
        <v>0</v>
      </c>
      <c r="I16" s="2"/>
    </row>
    <row r="17" spans="2:9">
      <c r="B17" s="2"/>
      <c r="C17" s="37" t="s">
        <v>651</v>
      </c>
      <c r="D17" s="38"/>
      <c r="E17" s="51">
        <v>0</v>
      </c>
      <c r="F17" s="51">
        <v>0</v>
      </c>
      <c r="G17" s="24">
        <f>0.2</f>
        <v>0.2</v>
      </c>
      <c r="H17" s="18">
        <f t="shared" si="0"/>
        <v>0</v>
      </c>
      <c r="I17" s="2"/>
    </row>
    <row r="18" spans="2:9">
      <c r="B18" s="2"/>
      <c r="C18" s="37" t="s">
        <v>652</v>
      </c>
      <c r="D18" s="38"/>
      <c r="E18" s="51">
        <v>0</v>
      </c>
      <c r="F18" s="51">
        <v>0</v>
      </c>
      <c r="G18" s="24">
        <f>0.25</f>
        <v>0.25</v>
      </c>
      <c r="H18" s="18">
        <f t="shared" si="0"/>
        <v>0</v>
      </c>
      <c r="I18" s="2"/>
    </row>
    <row r="19" spans="2:9">
      <c r="B19" s="2"/>
      <c r="C19" s="37" t="s">
        <v>653</v>
      </c>
      <c r="D19" s="38"/>
      <c r="E19" s="51">
        <v>0</v>
      </c>
      <c r="F19" s="51">
        <v>0</v>
      </c>
      <c r="G19" s="24">
        <f>0.25</f>
        <v>0.25</v>
      </c>
      <c r="H19" s="18">
        <f t="shared" si="0"/>
        <v>0</v>
      </c>
      <c r="I19" s="2"/>
    </row>
    <row r="20" spans="2:9">
      <c r="B20" s="2"/>
      <c r="C20" s="37" t="s">
        <v>654</v>
      </c>
      <c r="D20" s="38"/>
      <c r="E20" s="51">
        <v>0</v>
      </c>
      <c r="F20" s="51">
        <v>0</v>
      </c>
      <c r="G20" s="24">
        <f>0.25</f>
        <v>0.25</v>
      </c>
      <c r="H20" s="18">
        <f t="shared" si="0"/>
        <v>0</v>
      </c>
      <c r="I20" s="2"/>
    </row>
    <row r="21" spans="2:9">
      <c r="B21" s="2"/>
      <c r="C21" s="37" t="s">
        <v>655</v>
      </c>
      <c r="D21" s="38"/>
      <c r="E21" s="51">
        <v>0</v>
      </c>
      <c r="F21" s="51">
        <v>0</v>
      </c>
      <c r="G21" s="24">
        <f>0.2</f>
        <v>0.2</v>
      </c>
      <c r="H21" s="18">
        <f t="shared" si="0"/>
        <v>0</v>
      </c>
      <c r="I21" s="2"/>
    </row>
    <row r="22" spans="2:9">
      <c r="B22" s="2"/>
      <c r="C22" s="37" t="s">
        <v>656</v>
      </c>
      <c r="D22" s="38"/>
      <c r="E22" s="51">
        <v>0</v>
      </c>
      <c r="F22" s="51">
        <v>0</v>
      </c>
      <c r="G22" s="24">
        <f>0.3</f>
        <v>0.3</v>
      </c>
      <c r="H22" s="18">
        <f t="shared" si="0"/>
        <v>0</v>
      </c>
      <c r="I22" s="2"/>
    </row>
    <row r="23" spans="2:9">
      <c r="B23" s="2"/>
      <c r="C23" s="37" t="s">
        <v>657</v>
      </c>
      <c r="D23" s="38"/>
      <c r="E23" s="51">
        <v>0</v>
      </c>
      <c r="F23" s="51">
        <v>0</v>
      </c>
      <c r="G23" s="24">
        <f>0.3</f>
        <v>0.3</v>
      </c>
      <c r="H23" s="18">
        <f t="shared" si="0"/>
        <v>0</v>
      </c>
      <c r="I23" s="2"/>
    </row>
    <row r="24" spans="2:9">
      <c r="B24" s="2"/>
      <c r="C24" s="37" t="s">
        <v>658</v>
      </c>
      <c r="D24" s="38"/>
      <c r="E24" s="51">
        <v>0</v>
      </c>
      <c r="F24" s="51">
        <v>0</v>
      </c>
      <c r="G24" s="24">
        <f>0.2</f>
        <v>0.2</v>
      </c>
      <c r="H24" s="18">
        <f t="shared" si="0"/>
        <v>0</v>
      </c>
      <c r="I24" s="2"/>
    </row>
    <row r="25" spans="2:9">
      <c r="B25" s="2"/>
      <c r="C25" s="37" t="s">
        <v>659</v>
      </c>
      <c r="D25" s="38"/>
      <c r="E25" s="51">
        <v>0</v>
      </c>
      <c r="F25" s="51">
        <v>0</v>
      </c>
      <c r="G25" s="24">
        <f>0.3</f>
        <v>0.3</v>
      </c>
      <c r="H25" s="18">
        <f t="shared" si="0"/>
        <v>0</v>
      </c>
      <c r="I25" s="2"/>
    </row>
    <row r="26" spans="2:9">
      <c r="B26" s="2"/>
      <c r="C26" s="37" t="s">
        <v>660</v>
      </c>
      <c r="D26" s="38"/>
      <c r="E26" s="51">
        <v>0</v>
      </c>
      <c r="F26" s="51">
        <v>0</v>
      </c>
      <c r="G26" s="24">
        <f>0.2</f>
        <v>0.2</v>
      </c>
      <c r="H26" s="18">
        <f t="shared" si="0"/>
        <v>0</v>
      </c>
      <c r="I26" s="2"/>
    </row>
    <row r="27" spans="2:9">
      <c r="B27" s="2"/>
      <c r="C27" s="37" t="s">
        <v>661</v>
      </c>
      <c r="D27" s="38"/>
      <c r="E27" s="51">
        <v>0</v>
      </c>
      <c r="F27" s="51">
        <v>0</v>
      </c>
      <c r="G27" s="24">
        <f>0.2</f>
        <v>0.2</v>
      </c>
      <c r="H27" s="18">
        <f t="shared" si="0"/>
        <v>0</v>
      </c>
      <c r="I27" s="2"/>
    </row>
    <row r="28" spans="2:9">
      <c r="B28" s="2"/>
      <c r="C28" s="37" t="s">
        <v>662</v>
      </c>
      <c r="D28" s="38"/>
      <c r="E28" s="51">
        <v>0</v>
      </c>
      <c r="F28" s="51">
        <v>0</v>
      </c>
      <c r="G28" s="24">
        <f>0.2</f>
        <v>0.2</v>
      </c>
      <c r="H28" s="18">
        <f t="shared" si="0"/>
        <v>0</v>
      </c>
      <c r="I28" s="2"/>
    </row>
    <row r="29" spans="2:9">
      <c r="B29" s="2"/>
      <c r="C29" s="37" t="s">
        <v>663</v>
      </c>
      <c r="D29" s="38"/>
      <c r="E29" s="51">
        <v>0</v>
      </c>
      <c r="F29" s="51">
        <v>0</v>
      </c>
      <c r="G29" s="24">
        <f>0.1</f>
        <v>0.1</v>
      </c>
      <c r="H29" s="18">
        <f t="shared" si="0"/>
        <v>0</v>
      </c>
      <c r="I29" s="2"/>
    </row>
    <row r="30" spans="2:9">
      <c r="B30" s="2"/>
      <c r="C30" s="37" t="s">
        <v>666</v>
      </c>
      <c r="D30" s="38"/>
      <c r="E30" s="18">
        <f>SUM(E16:E29)</f>
        <v>0</v>
      </c>
      <c r="F30" s="18">
        <f>SUM(F16:F29)</f>
        <v>0</v>
      </c>
      <c r="G30" s="21">
        <f>0</f>
        <v>0</v>
      </c>
      <c r="H30" s="18">
        <f>SUM(H16:H29)</f>
        <v>0</v>
      </c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 ht="5.0999999999999996" customHeight="1">
      <c r="B32" s="2"/>
      <c r="C32" s="2"/>
      <c r="D32" s="2"/>
      <c r="E32" s="2"/>
      <c r="F32" s="2"/>
      <c r="G32" s="2"/>
      <c r="H32" s="2"/>
      <c r="I32" s="2"/>
    </row>
  </sheetData>
  <sheetProtection sheet="1" formatColumns="0" formatRows="0" selectLockedCells="1"/>
  <mergeCells count="53">
    <mergeCell ref="C7:H7"/>
    <mergeCell ref="C9:H9"/>
    <mergeCell ref="C10:H10"/>
    <mergeCell ref="C11:H11"/>
    <mergeCell ref="C13:H13"/>
    <mergeCell ref="C14:D15"/>
    <mergeCell ref="E14:E15"/>
    <mergeCell ref="F14:F15"/>
    <mergeCell ref="G14:G15"/>
    <mergeCell ref="H14:H15"/>
    <mergeCell ref="C16:D16"/>
    <mergeCell ref="E16"/>
    <mergeCell ref="F16"/>
    <mergeCell ref="C17:D17"/>
    <mergeCell ref="E17"/>
    <mergeCell ref="F17"/>
    <mergeCell ref="C18:D18"/>
    <mergeCell ref="E18"/>
    <mergeCell ref="F18"/>
    <mergeCell ref="C19:D19"/>
    <mergeCell ref="E19"/>
    <mergeCell ref="F19"/>
    <mergeCell ref="C20:D20"/>
    <mergeCell ref="E20"/>
    <mergeCell ref="F20"/>
    <mergeCell ref="C21:D21"/>
    <mergeCell ref="E21"/>
    <mergeCell ref="F21"/>
    <mergeCell ref="C22:D22"/>
    <mergeCell ref="E22"/>
    <mergeCell ref="F22"/>
    <mergeCell ref="C23:D23"/>
    <mergeCell ref="E23"/>
    <mergeCell ref="F23"/>
    <mergeCell ref="C24:D24"/>
    <mergeCell ref="E24"/>
    <mergeCell ref="F24"/>
    <mergeCell ref="C25:D25"/>
    <mergeCell ref="E25"/>
    <mergeCell ref="F25"/>
    <mergeCell ref="C26:D26"/>
    <mergeCell ref="E26"/>
    <mergeCell ref="F26"/>
    <mergeCell ref="C27:D27"/>
    <mergeCell ref="E27"/>
    <mergeCell ref="F27"/>
    <mergeCell ref="C30:D30"/>
    <mergeCell ref="C28:D28"/>
    <mergeCell ref="E28"/>
    <mergeCell ref="F28"/>
    <mergeCell ref="C29:D29"/>
    <mergeCell ref="E29"/>
    <mergeCell ref="F29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669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560</v>
      </c>
      <c r="D9" s="46"/>
      <c r="E9" s="46"/>
      <c r="F9" s="46"/>
      <c r="G9" s="46"/>
      <c r="H9" s="46"/>
      <c r="I9" s="2"/>
    </row>
    <row r="10" spans="2:9">
      <c r="B10" s="2"/>
      <c r="C10" s="46" t="s">
        <v>670</v>
      </c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 t="s">
        <v>232</v>
      </c>
      <c r="D13" s="48"/>
      <c r="E13" s="48"/>
      <c r="F13" s="48"/>
      <c r="G13" s="48"/>
      <c r="H13" s="48"/>
      <c r="I13" s="2"/>
    </row>
    <row r="14" spans="2:9">
      <c r="B14" s="2"/>
      <c r="C14" s="40"/>
      <c r="D14" s="38"/>
      <c r="E14" s="43" t="str">
        <f>"Penyisihan Risiko Bencana"</f>
        <v>Penyisihan Risiko Bencana</v>
      </c>
      <c r="F14" s="43" t="str">
        <f>"AR"</f>
        <v>AR</v>
      </c>
      <c r="G14" s="43" t="str">
        <f>"fpk"</f>
        <v>fpk</v>
      </c>
      <c r="H14" s="43" t="str">
        <f>"Jumlah Deviasi Penyisihan Risiko Bencana ((2) - (3)) x (4)"</f>
        <v>Jumlah Deviasi Penyisihan Risiko Bencana ((2) - (3)) x (4)</v>
      </c>
      <c r="I14" s="2"/>
    </row>
    <row r="15" spans="2:9">
      <c r="B15" s="2"/>
      <c r="C15" s="41"/>
      <c r="D15" s="42"/>
      <c r="E15" s="44"/>
      <c r="F15" s="44"/>
      <c r="G15" s="44"/>
      <c r="H15" s="44"/>
      <c r="I15" s="2"/>
    </row>
    <row r="16" spans="2:9">
      <c r="B16" s="2"/>
      <c r="C16" s="37" t="s">
        <v>650</v>
      </c>
      <c r="D16" s="38"/>
      <c r="E16" s="51">
        <v>0</v>
      </c>
      <c r="F16" s="51">
        <v>0</v>
      </c>
      <c r="G16" s="24">
        <f>0.25</f>
        <v>0.25</v>
      </c>
      <c r="H16" s="18">
        <f t="shared" ref="H16:H29" si="0">(E16-F16)*G16</f>
        <v>0</v>
      </c>
      <c r="I16" s="2"/>
    </row>
    <row r="17" spans="2:9">
      <c r="B17" s="2"/>
      <c r="C17" s="37" t="s">
        <v>651</v>
      </c>
      <c r="D17" s="38"/>
      <c r="E17" s="51">
        <v>0</v>
      </c>
      <c r="F17" s="51">
        <v>0</v>
      </c>
      <c r="G17" s="24">
        <f>0.25</f>
        <v>0.25</v>
      </c>
      <c r="H17" s="18">
        <f t="shared" si="0"/>
        <v>0</v>
      </c>
      <c r="I17" s="2"/>
    </row>
    <row r="18" spans="2:9">
      <c r="B18" s="2"/>
      <c r="C18" s="37" t="s">
        <v>652</v>
      </c>
      <c r="D18" s="38"/>
      <c r="E18" s="51">
        <v>0</v>
      </c>
      <c r="F18" s="51">
        <v>0</v>
      </c>
      <c r="G18" s="24">
        <f>0.3</f>
        <v>0.3</v>
      </c>
      <c r="H18" s="18">
        <f t="shared" si="0"/>
        <v>0</v>
      </c>
      <c r="I18" s="2"/>
    </row>
    <row r="19" spans="2:9">
      <c r="B19" s="2"/>
      <c r="C19" s="37" t="s">
        <v>653</v>
      </c>
      <c r="D19" s="38"/>
      <c r="E19" s="51">
        <v>0</v>
      </c>
      <c r="F19" s="51">
        <v>0</v>
      </c>
      <c r="G19" s="24">
        <f>0.3</f>
        <v>0.3</v>
      </c>
      <c r="H19" s="18">
        <f t="shared" si="0"/>
        <v>0</v>
      </c>
      <c r="I19" s="2"/>
    </row>
    <row r="20" spans="2:9">
      <c r="B20" s="2"/>
      <c r="C20" s="37" t="s">
        <v>654</v>
      </c>
      <c r="D20" s="38"/>
      <c r="E20" s="51">
        <v>0</v>
      </c>
      <c r="F20" s="51">
        <v>0</v>
      </c>
      <c r="G20" s="24">
        <f>0.3</f>
        <v>0.3</v>
      </c>
      <c r="H20" s="18">
        <f t="shared" si="0"/>
        <v>0</v>
      </c>
      <c r="I20" s="2"/>
    </row>
    <row r="21" spans="2:9">
      <c r="B21" s="2"/>
      <c r="C21" s="37" t="s">
        <v>655</v>
      </c>
      <c r="D21" s="38"/>
      <c r="E21" s="51">
        <v>0</v>
      </c>
      <c r="F21" s="51">
        <v>0</v>
      </c>
      <c r="G21" s="24">
        <f>0.25</f>
        <v>0.25</v>
      </c>
      <c r="H21" s="18">
        <f t="shared" si="0"/>
        <v>0</v>
      </c>
      <c r="I21" s="2"/>
    </row>
    <row r="22" spans="2:9">
      <c r="B22" s="2"/>
      <c r="C22" s="37" t="s">
        <v>656</v>
      </c>
      <c r="D22" s="38"/>
      <c r="E22" s="51">
        <v>0</v>
      </c>
      <c r="F22" s="51">
        <v>0</v>
      </c>
      <c r="G22" s="24">
        <f>0.35</f>
        <v>0.35</v>
      </c>
      <c r="H22" s="18">
        <f t="shared" si="0"/>
        <v>0</v>
      </c>
      <c r="I22" s="2"/>
    </row>
    <row r="23" spans="2:9">
      <c r="B23" s="2"/>
      <c r="C23" s="37" t="s">
        <v>657</v>
      </c>
      <c r="D23" s="38"/>
      <c r="E23" s="51">
        <v>0</v>
      </c>
      <c r="F23" s="51">
        <v>0</v>
      </c>
      <c r="G23" s="24">
        <f>0.35</f>
        <v>0.35</v>
      </c>
      <c r="H23" s="18">
        <f t="shared" si="0"/>
        <v>0</v>
      </c>
      <c r="I23" s="2"/>
    </row>
    <row r="24" spans="2:9">
      <c r="B24" s="2"/>
      <c r="C24" s="37" t="s">
        <v>658</v>
      </c>
      <c r="D24" s="38"/>
      <c r="E24" s="51">
        <v>0</v>
      </c>
      <c r="F24" s="51">
        <v>0</v>
      </c>
      <c r="G24" s="24">
        <f>0.25</f>
        <v>0.25</v>
      </c>
      <c r="H24" s="18">
        <f t="shared" si="0"/>
        <v>0</v>
      </c>
      <c r="I24" s="2"/>
    </row>
    <row r="25" spans="2:9">
      <c r="B25" s="2"/>
      <c r="C25" s="37" t="s">
        <v>659</v>
      </c>
      <c r="D25" s="38"/>
      <c r="E25" s="51">
        <v>0</v>
      </c>
      <c r="F25" s="51">
        <v>0</v>
      </c>
      <c r="G25" s="24">
        <f>0.35</f>
        <v>0.35</v>
      </c>
      <c r="H25" s="18">
        <f t="shared" si="0"/>
        <v>0</v>
      </c>
      <c r="I25" s="2"/>
    </row>
    <row r="26" spans="2:9">
      <c r="B26" s="2"/>
      <c r="C26" s="37" t="s">
        <v>660</v>
      </c>
      <c r="D26" s="38"/>
      <c r="E26" s="51">
        <v>0</v>
      </c>
      <c r="F26" s="51">
        <v>0</v>
      </c>
      <c r="G26" s="24">
        <f>0.25</f>
        <v>0.25</v>
      </c>
      <c r="H26" s="18">
        <f t="shared" si="0"/>
        <v>0</v>
      </c>
      <c r="I26" s="2"/>
    </row>
    <row r="27" spans="2:9">
      <c r="B27" s="2"/>
      <c r="C27" s="37" t="s">
        <v>661</v>
      </c>
      <c r="D27" s="38"/>
      <c r="E27" s="51">
        <v>0</v>
      </c>
      <c r="F27" s="51">
        <v>0</v>
      </c>
      <c r="G27" s="24">
        <f>0.25</f>
        <v>0.25</v>
      </c>
      <c r="H27" s="18">
        <f t="shared" si="0"/>
        <v>0</v>
      </c>
      <c r="I27" s="2"/>
    </row>
    <row r="28" spans="2:9">
      <c r="B28" s="2"/>
      <c r="C28" s="37" t="s">
        <v>662</v>
      </c>
      <c r="D28" s="38"/>
      <c r="E28" s="51">
        <v>0</v>
      </c>
      <c r="F28" s="51">
        <v>0</v>
      </c>
      <c r="G28" s="24">
        <f>0.25</f>
        <v>0.25</v>
      </c>
      <c r="H28" s="18">
        <f t="shared" si="0"/>
        <v>0</v>
      </c>
      <c r="I28" s="2"/>
    </row>
    <row r="29" spans="2:9">
      <c r="B29" s="2"/>
      <c r="C29" s="37" t="s">
        <v>663</v>
      </c>
      <c r="D29" s="38"/>
      <c r="E29" s="51">
        <v>0</v>
      </c>
      <c r="F29" s="51">
        <v>0</v>
      </c>
      <c r="G29" s="24">
        <f>0.1</f>
        <v>0.1</v>
      </c>
      <c r="H29" s="18">
        <f t="shared" si="0"/>
        <v>0</v>
      </c>
      <c r="I29" s="2"/>
    </row>
    <row r="30" spans="2:9">
      <c r="B30" s="2"/>
      <c r="C30" s="37" t="s">
        <v>666</v>
      </c>
      <c r="D30" s="38"/>
      <c r="E30" s="18">
        <f>SUM(E16:E29)</f>
        <v>0</v>
      </c>
      <c r="F30" s="18">
        <f>SUM(F16:F29)</f>
        <v>0</v>
      </c>
      <c r="G30" s="21" t="str">
        <f>""</f>
        <v/>
      </c>
      <c r="H30" s="18">
        <f>SUM(H16:H29)</f>
        <v>0</v>
      </c>
      <c r="I30" s="2"/>
    </row>
    <row r="31" spans="2:9">
      <c r="B31" s="2"/>
      <c r="C31" s="2"/>
      <c r="D31" s="2"/>
      <c r="E31" s="2"/>
      <c r="F31" s="2"/>
      <c r="G31" s="2"/>
      <c r="H31" s="2"/>
      <c r="I31" s="2"/>
    </row>
    <row r="32" spans="2:9" ht="5.0999999999999996" customHeight="1">
      <c r="B32" s="2"/>
      <c r="C32" s="2"/>
      <c r="D32" s="2"/>
      <c r="E32" s="2"/>
      <c r="F32" s="2"/>
      <c r="G32" s="2"/>
      <c r="H32" s="2"/>
      <c r="I32" s="2"/>
    </row>
  </sheetData>
  <sheetProtection sheet="1" formatColumns="0" formatRows="0" selectLockedCells="1"/>
  <mergeCells count="53">
    <mergeCell ref="C7:H7"/>
    <mergeCell ref="C9:H9"/>
    <mergeCell ref="C10:H10"/>
    <mergeCell ref="C11:H11"/>
    <mergeCell ref="C13:H13"/>
    <mergeCell ref="C14:D15"/>
    <mergeCell ref="E14:E15"/>
    <mergeCell ref="F14:F15"/>
    <mergeCell ref="G14:G15"/>
    <mergeCell ref="H14:H15"/>
    <mergeCell ref="C16:D16"/>
    <mergeCell ref="E16"/>
    <mergeCell ref="F16"/>
    <mergeCell ref="C17:D17"/>
    <mergeCell ref="E17"/>
    <mergeCell ref="F17"/>
    <mergeCell ref="C18:D18"/>
    <mergeCell ref="E18"/>
    <mergeCell ref="F18"/>
    <mergeCell ref="C19:D19"/>
    <mergeCell ref="E19"/>
    <mergeCell ref="F19"/>
    <mergeCell ref="C20:D20"/>
    <mergeCell ref="E20"/>
    <mergeCell ref="F20"/>
    <mergeCell ref="C21:D21"/>
    <mergeCell ref="E21"/>
    <mergeCell ref="F21"/>
    <mergeCell ref="C22:D22"/>
    <mergeCell ref="E22"/>
    <mergeCell ref="F22"/>
    <mergeCell ref="C23:D23"/>
    <mergeCell ref="E23"/>
    <mergeCell ref="F23"/>
    <mergeCell ref="C24:D24"/>
    <mergeCell ref="E24"/>
    <mergeCell ref="F24"/>
    <mergeCell ref="C25:D25"/>
    <mergeCell ref="E25"/>
    <mergeCell ref="F25"/>
    <mergeCell ref="C26:D26"/>
    <mergeCell ref="E26"/>
    <mergeCell ref="F26"/>
    <mergeCell ref="C27:D27"/>
    <mergeCell ref="E27"/>
    <mergeCell ref="F27"/>
    <mergeCell ref="C30:D30"/>
    <mergeCell ref="C28:D28"/>
    <mergeCell ref="E28"/>
    <mergeCell ref="F28"/>
    <mergeCell ref="C29:D29"/>
    <mergeCell ref="E29"/>
    <mergeCell ref="F29"/>
  </mergeCells>
  <dataValidations count="2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671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45" t="str">
        <f>UPPER('Data Umum'!D7)</f>
        <v/>
      </c>
      <c r="D7" s="45"/>
      <c r="E7" s="45"/>
      <c r="F7" s="45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46" t="s">
        <v>560</v>
      </c>
      <c r="D9" s="46"/>
      <c r="E9" s="46"/>
      <c r="F9" s="46"/>
      <c r="G9" s="2"/>
    </row>
    <row r="10" spans="2:7">
      <c r="B10" s="2"/>
      <c r="C10" s="46" t="s">
        <v>672</v>
      </c>
      <c r="D10" s="46"/>
      <c r="E10" s="46"/>
      <c r="F10" s="46"/>
      <c r="G10" s="2"/>
    </row>
    <row r="11" spans="2:7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48" t="s">
        <v>232</v>
      </c>
      <c r="D13" s="48"/>
      <c r="E13" s="48"/>
      <c r="F13" s="48"/>
      <c r="G13" s="2"/>
    </row>
    <row r="14" spans="2:7">
      <c r="B14" s="2"/>
      <c r="C14" s="40" t="s">
        <v>236</v>
      </c>
      <c r="D14" s="38"/>
      <c r="E14" s="43" t="str">
        <f>"Dana Tabarru"</f>
        <v>Dana Tabarru</v>
      </c>
      <c r="F14" s="43" t="str">
        <f>"Dana Perusahaan"</f>
        <v>Dana Perusahaan</v>
      </c>
      <c r="G14" s="2"/>
    </row>
    <row r="15" spans="2:7">
      <c r="B15" s="2"/>
      <c r="C15" s="41"/>
      <c r="D15" s="42"/>
      <c r="E15" s="44"/>
      <c r="F15" s="44"/>
      <c r="G15" s="2"/>
    </row>
    <row r="16" spans="2:7">
      <c r="B16" s="2"/>
      <c r="C16" s="37" t="s">
        <v>673</v>
      </c>
      <c r="D16" s="38"/>
      <c r="E16" s="18" t="str">
        <f>""</f>
        <v/>
      </c>
      <c r="F16" s="20">
        <f>IFERROR(F17, 0)+IFERROR(F18, 0)+IFERROR(F19, 0)+IFERROR(F20, 0)+IFERROR(F21, 0)+IFERROR(F22, 0)</f>
        <v>0</v>
      </c>
      <c r="G16" s="2"/>
    </row>
    <row r="17" spans="2:7">
      <c r="B17" s="2"/>
      <c r="C17" s="35" t="s">
        <v>674</v>
      </c>
      <c r="D17" s="36"/>
      <c r="E17" s="18" t="str">
        <f>""</f>
        <v/>
      </c>
      <c r="F17" s="51">
        <v>0</v>
      </c>
      <c r="G17" s="2"/>
    </row>
    <row r="18" spans="2:7">
      <c r="B18" s="2"/>
      <c r="C18" s="35" t="s">
        <v>675</v>
      </c>
      <c r="D18" s="36"/>
      <c r="E18" s="18" t="str">
        <f>""</f>
        <v/>
      </c>
      <c r="F18" s="51">
        <v>0</v>
      </c>
      <c r="G18" s="2"/>
    </row>
    <row r="19" spans="2:7">
      <c r="B19" s="2"/>
      <c r="C19" s="35" t="s">
        <v>676</v>
      </c>
      <c r="D19" s="36"/>
      <c r="E19" s="18" t="str">
        <f>""</f>
        <v/>
      </c>
      <c r="F19" s="18">
        <f>(1%*(F17-F18))</f>
        <v>0</v>
      </c>
      <c r="G19" s="2"/>
    </row>
    <row r="20" spans="2:7">
      <c r="B20" s="2"/>
      <c r="C20" s="35" t="s">
        <v>677</v>
      </c>
      <c r="D20" s="36"/>
      <c r="E20" s="18" t="str">
        <f>""</f>
        <v/>
      </c>
      <c r="F20" s="51">
        <v>0</v>
      </c>
      <c r="G20" s="2"/>
    </row>
    <row r="21" spans="2:7">
      <c r="B21" s="2"/>
      <c r="C21" s="35" t="s">
        <v>678</v>
      </c>
      <c r="D21" s="36"/>
      <c r="E21" s="18" t="str">
        <f>""</f>
        <v/>
      </c>
      <c r="F21" s="18">
        <f>50%*(F20)</f>
        <v>0</v>
      </c>
      <c r="G21" s="2"/>
    </row>
    <row r="22" spans="2:7">
      <c r="B22" s="2"/>
      <c r="C22" s="35" t="s">
        <v>679</v>
      </c>
      <c r="D22" s="36"/>
      <c r="E22" s="18" t="str">
        <f>""</f>
        <v/>
      </c>
      <c r="F22" s="18">
        <f>F19+F21</f>
        <v>0</v>
      </c>
      <c r="G22" s="2"/>
    </row>
    <row r="23" spans="2:7">
      <c r="B23" s="2"/>
      <c r="C23" s="37" t="s">
        <v>680</v>
      </c>
      <c r="D23" s="38"/>
      <c r="E23" s="18" t="str">
        <f>""</f>
        <v/>
      </c>
      <c r="F23" s="20">
        <f>IFERROR(F24, 0)+IFERROR(F25, 0)</f>
        <v>0</v>
      </c>
      <c r="G23" s="2"/>
    </row>
    <row r="24" spans="2:7">
      <c r="B24" s="2"/>
      <c r="C24" s="35" t="s">
        <v>681</v>
      </c>
      <c r="D24" s="36"/>
      <c r="E24" s="18" t="str">
        <f>""</f>
        <v/>
      </c>
      <c r="F24" s="51">
        <v>0</v>
      </c>
      <c r="G24" s="2"/>
    </row>
    <row r="25" spans="2:7">
      <c r="B25" s="2"/>
      <c r="C25" s="35" t="s">
        <v>682</v>
      </c>
      <c r="D25" s="36"/>
      <c r="E25" s="18" t="str">
        <f>""</f>
        <v/>
      </c>
      <c r="F25" s="18">
        <f>(1/1000)*F24</f>
        <v>0</v>
      </c>
      <c r="G25" s="2"/>
    </row>
    <row r="26" spans="2:7">
      <c r="B26" s="2"/>
      <c r="C26" s="37" t="s">
        <v>683</v>
      </c>
      <c r="D26" s="38"/>
      <c r="E26" s="18" t="str">
        <f>""</f>
        <v/>
      </c>
      <c r="F26" s="20">
        <f>IFERROR(F27, 0)+IFERROR(F28, 0)</f>
        <v>0</v>
      </c>
      <c r="G26" s="2"/>
    </row>
    <row r="27" spans="2:7">
      <c r="B27" s="2"/>
      <c r="C27" s="35" t="s">
        <v>684</v>
      </c>
      <c r="D27" s="36"/>
      <c r="E27" s="51">
        <v>0</v>
      </c>
      <c r="F27" s="21">
        <f>0</f>
        <v>0</v>
      </c>
      <c r="G27" s="2"/>
    </row>
    <row r="28" spans="2:7">
      <c r="B28" s="2"/>
      <c r="C28" s="35" t="s">
        <v>685</v>
      </c>
      <c r="D28" s="36"/>
      <c r="E28" s="18">
        <f>(1/1000)*E27</f>
        <v>0</v>
      </c>
      <c r="F28" s="21">
        <f>0</f>
        <v>0</v>
      </c>
      <c r="G28" s="2"/>
    </row>
    <row r="29" spans="2:7">
      <c r="B29" s="2"/>
      <c r="C29" s="37" t="s">
        <v>686</v>
      </c>
      <c r="D29" s="38"/>
      <c r="E29" s="18">
        <f>E28</f>
        <v>0</v>
      </c>
      <c r="F29" s="18">
        <f>F22+F25+F28</f>
        <v>0</v>
      </c>
      <c r="G29" s="2"/>
    </row>
    <row r="30" spans="2:7">
      <c r="B30" s="2"/>
      <c r="C30" s="2"/>
      <c r="D30" s="2"/>
      <c r="E30" s="2"/>
      <c r="F30" s="2"/>
      <c r="G30" s="2"/>
    </row>
    <row r="31" spans="2:7" ht="5.0999999999999996" customHeight="1">
      <c r="B31" s="2"/>
      <c r="C31" s="2"/>
      <c r="D31" s="2"/>
      <c r="E31" s="2"/>
      <c r="F31" s="2"/>
      <c r="G31" s="2"/>
    </row>
  </sheetData>
  <sheetProtection sheet="1" formatColumns="0" formatRows="0" selectLockedCells="1"/>
  <mergeCells count="27">
    <mergeCell ref="C7:F7"/>
    <mergeCell ref="C9:F9"/>
    <mergeCell ref="C10:F10"/>
    <mergeCell ref="C11:F11"/>
    <mergeCell ref="C13:F13"/>
    <mergeCell ref="C14:D15"/>
    <mergeCell ref="E14:E15"/>
    <mergeCell ref="F14:F15"/>
    <mergeCell ref="C16:D16"/>
    <mergeCell ref="C17:D17"/>
    <mergeCell ref="F17"/>
    <mergeCell ref="C18:D18"/>
    <mergeCell ref="F18"/>
    <mergeCell ref="C19:D19"/>
    <mergeCell ref="C20:D20"/>
    <mergeCell ref="F20"/>
    <mergeCell ref="C21:D21"/>
    <mergeCell ref="C22:D22"/>
    <mergeCell ref="C23:D23"/>
    <mergeCell ref="C24:D24"/>
    <mergeCell ref="F24"/>
    <mergeCell ref="C29:D29"/>
    <mergeCell ref="C25:D25"/>
    <mergeCell ref="C26:D26"/>
    <mergeCell ref="C27:D27"/>
    <mergeCell ref="E27"/>
    <mergeCell ref="C28:D28"/>
  </mergeCells>
  <dataValidations count="5"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35" width="30" style="1" customWidth="1"/>
    <col min="36" max="36" width="1" style="1" customWidth="1"/>
    <col min="37" max="37" width="9.140625" style="1" customWidth="1"/>
    <col min="38" max="16384" width="9.140625" style="1"/>
  </cols>
  <sheetData>
    <row r="2" spans="2:36" ht="5.0999999999999996" customHeight="1">
      <c r="B2" s="9" t="s">
        <v>687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2"/>
    </row>
    <row r="8" spans="2:36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>
      <c r="B9" s="2"/>
      <c r="C9" s="46" t="s">
        <v>688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2"/>
    </row>
    <row r="10" spans="2:36"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2"/>
    </row>
    <row r="11" spans="2:36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2"/>
    </row>
    <row r="12" spans="2:36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2"/>
    </row>
    <row r="14" spans="2:36">
      <c r="B14" s="2"/>
      <c r="C14" s="40" t="s">
        <v>126</v>
      </c>
      <c r="D14" s="38"/>
      <c r="E14" s="40" t="str">
        <f>""</f>
        <v/>
      </c>
      <c r="F14" s="54"/>
      <c r="G14" s="54"/>
      <c r="H14" s="54"/>
      <c r="I14" s="54"/>
      <c r="J14" s="54"/>
      <c r="K14" s="54"/>
      <c r="L14" s="54"/>
      <c r="M14" s="38"/>
      <c r="N14" s="40" t="str">
        <f>"Jangka Waktu"</f>
        <v>Jangka Waktu</v>
      </c>
      <c r="O14" s="38"/>
      <c r="P14" s="40" t="str">
        <f>""</f>
        <v/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38"/>
      <c r="AJ14" s="2"/>
    </row>
    <row r="15" spans="2:36">
      <c r="B15" s="2"/>
      <c r="C15" s="41"/>
      <c r="D15" s="42"/>
      <c r="E15" s="43" t="str">
        <f>"Identitas Instrumen Investasi"</f>
        <v>Identitas Instrumen Investasi</v>
      </c>
      <c r="F15" s="43" t="str">
        <f>"Dana Jaminan"</f>
        <v>Dana Jaminan</v>
      </c>
      <c r="G15" s="43" t="str">
        <f>"Investasi Dalam Rangka Pembiayaan Infrastruktur"</f>
        <v>Investasi Dalam Rangka Pembiayaan Infrastruktur</v>
      </c>
      <c r="H15" s="43" t="str">
        <f>"Nama Penerbit / Pihak"</f>
        <v>Nama Penerbit / Pihak</v>
      </c>
      <c r="I15" s="43" t="str">
        <f>"Nama Group"</f>
        <v>Nama Group</v>
      </c>
      <c r="J15" s="43" t="str">
        <f>"Golongan Perusahaan / Penerbit"</f>
        <v>Golongan Perusahaan / Penerbit</v>
      </c>
      <c r="K15" s="43" t="str">
        <f>"Jenis Dana"</f>
        <v>Jenis Dana</v>
      </c>
      <c r="L15" s="43" t="str">
        <f>"Pengawas"</f>
        <v>Pengawas</v>
      </c>
      <c r="M15" s="43" t="str">
        <f>"Jenis Investasi"</f>
        <v>Jenis Investasi</v>
      </c>
      <c r="N15" s="43" t="str">
        <f>"DD/MM/YY Mulai"</f>
        <v>DD/MM/YY Mulai</v>
      </c>
      <c r="O15" s="43" t="str">
        <f>"DD/MM/YY Jatuh"</f>
        <v>DD/MM/YY Jatuh</v>
      </c>
      <c r="P15" s="43" t="str">
        <f>"Peringkat"</f>
        <v>Peringkat</v>
      </c>
      <c r="Q15" s="43" t="str">
        <f>"Nama Pemeringkat"</f>
        <v>Nama Pemeringkat</v>
      </c>
      <c r="R15" s="43" t="str">
        <f>"Kategori Usaha"</f>
        <v>Kategori Usaha</v>
      </c>
      <c r="S15" s="43" t="str">
        <f>"Sektor Ekonomi"</f>
        <v>Sektor Ekonomi</v>
      </c>
      <c r="T15" s="43" t="str">
        <f>"Lokasi"</f>
        <v>Lokasi</v>
      </c>
      <c r="U15" s="43" t="str">
        <f>"Hubungan Istimewa"</f>
        <v>Hubungan Istimewa</v>
      </c>
      <c r="V15" s="43" t="str">
        <f>"Tujuan Kepemilikan"</f>
        <v>Tujuan Kepemilikan</v>
      </c>
      <c r="W15" s="43" t="str">
        <f>"Bagian Kepemilikan (%)"</f>
        <v>Bagian Kepemilikan (%)</v>
      </c>
      <c r="X15" s="43" t="str">
        <f>"Mata Uang"</f>
        <v>Mata Uang</v>
      </c>
      <c r="Y15" s="43" t="str">
        <f>"Jenis Tingkat Pengembalian"</f>
        <v>Jenis Tingkat Pengembalian</v>
      </c>
      <c r="Z15" s="43" t="str">
        <f>"Tingkat Pengembalian (%)"</f>
        <v>Tingkat Pengembalian (%)</v>
      </c>
      <c r="AA15" s="43" t="str">
        <f>"Kolektibilitas"</f>
        <v>Kolektibilitas</v>
      </c>
      <c r="AB15" s="43" t="str">
        <f>"Saldo Buku"</f>
        <v>Saldo Buku</v>
      </c>
      <c r="AC15" s="43" t="str">
        <f>"Saldo Penilaian SAP"</f>
        <v>Saldo Penilaian SAP</v>
      </c>
      <c r="AD15" s="43" t="str">
        <f>"AYD"</f>
        <v>AYD</v>
      </c>
      <c r="AE15" s="43" t="str">
        <f>"Hasil Investasi Berjalan Diterima Kas"</f>
        <v>Hasil Investasi Berjalan Diterima Kas</v>
      </c>
      <c r="AF15" s="43" t="str">
        <f>"Piutang Hasil Investasi"</f>
        <v>Piutang Hasil Investasi</v>
      </c>
      <c r="AG15" s="43" t="str">
        <f>"Piutang Hasil Investasi Periode Sebelumnya Diterima  Kas Periode Berjalan"</f>
        <v>Piutang Hasil Investasi Periode Sebelumnya Diterima  Kas Periode Berjalan</v>
      </c>
      <c r="AH15" s="43" t="str">
        <f>"Total Hasil Investasi"</f>
        <v>Total Hasil Investasi</v>
      </c>
      <c r="AI15" s="43" t="str">
        <f>"Hasil Investasi Yang Siap Didistribusi"</f>
        <v>Hasil Investasi Yang Siap Didistribusi</v>
      </c>
      <c r="AJ15" s="2"/>
    </row>
    <row r="16" spans="2:36">
      <c r="B16" s="2"/>
      <c r="C16" s="37" t="s">
        <v>8</v>
      </c>
      <c r="D16" s="38"/>
      <c r="E16" s="34" t="s">
        <v>103</v>
      </c>
      <c r="F16" s="51">
        <v>0</v>
      </c>
      <c r="G16" s="51">
        <v>0</v>
      </c>
      <c r="H16" s="34" t="s">
        <v>103</v>
      </c>
      <c r="I16" s="34" t="s">
        <v>103</v>
      </c>
      <c r="J16" s="51">
        <v>0</v>
      </c>
      <c r="K16" s="51">
        <v>0</v>
      </c>
      <c r="L16" s="51">
        <v>0</v>
      </c>
      <c r="M16" s="51">
        <v>0</v>
      </c>
      <c r="N16" s="53"/>
      <c r="O16" s="53"/>
      <c r="P16" s="39">
        <v>0</v>
      </c>
      <c r="Q16" s="51">
        <v>0</v>
      </c>
      <c r="R16" s="51">
        <v>0</v>
      </c>
      <c r="S16" s="51">
        <v>0</v>
      </c>
      <c r="T16" s="51">
        <v>0</v>
      </c>
      <c r="U16" s="39">
        <v>0</v>
      </c>
      <c r="V16" s="51">
        <v>0</v>
      </c>
      <c r="W16" s="52">
        <v>0</v>
      </c>
      <c r="X16" s="39">
        <v>0</v>
      </c>
      <c r="Y16" s="39">
        <v>0</v>
      </c>
      <c r="Z16" s="52">
        <v>0</v>
      </c>
      <c r="AA16" s="39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2"/>
    </row>
    <row r="17" spans="2:36">
      <c r="B17" s="2"/>
      <c r="C17" s="37" t="s">
        <v>127</v>
      </c>
      <c r="D17" s="38"/>
      <c r="E17" s="34" t="s">
        <v>103</v>
      </c>
      <c r="F17" s="51">
        <v>0</v>
      </c>
      <c r="G17" s="51">
        <v>0</v>
      </c>
      <c r="H17" s="34" t="s">
        <v>103</v>
      </c>
      <c r="I17" s="34" t="s">
        <v>103</v>
      </c>
      <c r="J17" s="51">
        <v>0</v>
      </c>
      <c r="K17" s="51">
        <v>0</v>
      </c>
      <c r="L17" s="51">
        <v>0</v>
      </c>
      <c r="M17" s="51">
        <v>0</v>
      </c>
      <c r="N17" s="53"/>
      <c r="O17" s="53"/>
      <c r="P17" s="39">
        <v>0</v>
      </c>
      <c r="Q17" s="51">
        <v>0</v>
      </c>
      <c r="R17" s="51">
        <v>0</v>
      </c>
      <c r="S17" s="51">
        <v>0</v>
      </c>
      <c r="T17" s="51">
        <v>0</v>
      </c>
      <c r="U17" s="39">
        <v>0</v>
      </c>
      <c r="V17" s="51">
        <v>0</v>
      </c>
      <c r="W17" s="52">
        <v>0</v>
      </c>
      <c r="X17" s="39">
        <v>0</v>
      </c>
      <c r="Y17" s="39">
        <v>0</v>
      </c>
      <c r="Z17" s="52">
        <v>0</v>
      </c>
      <c r="AA17" s="39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2"/>
    </row>
    <row r="18" spans="2:36">
      <c r="B18" s="2"/>
      <c r="C18" s="37" t="s">
        <v>128</v>
      </c>
      <c r="D18" s="38"/>
      <c r="E18" s="34" t="s">
        <v>103</v>
      </c>
      <c r="F18" s="51">
        <v>0</v>
      </c>
      <c r="G18" s="51">
        <v>0</v>
      </c>
      <c r="H18" s="34" t="s">
        <v>103</v>
      </c>
      <c r="I18" s="34" t="s">
        <v>103</v>
      </c>
      <c r="J18" s="51">
        <v>0</v>
      </c>
      <c r="K18" s="51">
        <v>0</v>
      </c>
      <c r="L18" s="51">
        <v>0</v>
      </c>
      <c r="M18" s="51">
        <v>0</v>
      </c>
      <c r="N18" s="53"/>
      <c r="O18" s="53"/>
      <c r="P18" s="39">
        <v>0</v>
      </c>
      <c r="Q18" s="51">
        <v>0</v>
      </c>
      <c r="R18" s="51">
        <v>0</v>
      </c>
      <c r="S18" s="51">
        <v>0</v>
      </c>
      <c r="T18" s="51">
        <v>0</v>
      </c>
      <c r="U18" s="39">
        <v>0</v>
      </c>
      <c r="V18" s="51">
        <v>0</v>
      </c>
      <c r="W18" s="52">
        <v>0</v>
      </c>
      <c r="X18" s="39">
        <v>0</v>
      </c>
      <c r="Y18" s="39">
        <v>0</v>
      </c>
      <c r="Z18" s="52">
        <v>0</v>
      </c>
      <c r="AA18" s="39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2"/>
    </row>
    <row r="19" spans="2:36">
      <c r="B19" s="2"/>
      <c r="C19" s="37" t="s">
        <v>129</v>
      </c>
      <c r="D19" s="38"/>
      <c r="E19" s="34" t="s">
        <v>103</v>
      </c>
      <c r="F19" s="51">
        <v>0</v>
      </c>
      <c r="G19" s="51">
        <v>0</v>
      </c>
      <c r="H19" s="34" t="s">
        <v>103</v>
      </c>
      <c r="I19" s="34" t="s">
        <v>103</v>
      </c>
      <c r="J19" s="51">
        <v>0</v>
      </c>
      <c r="K19" s="51">
        <v>0</v>
      </c>
      <c r="L19" s="51">
        <v>0</v>
      </c>
      <c r="M19" s="51">
        <v>0</v>
      </c>
      <c r="N19" s="53"/>
      <c r="O19" s="53"/>
      <c r="P19" s="39">
        <v>0</v>
      </c>
      <c r="Q19" s="51">
        <v>0</v>
      </c>
      <c r="R19" s="51">
        <v>0</v>
      </c>
      <c r="S19" s="51">
        <v>0</v>
      </c>
      <c r="T19" s="51">
        <v>0</v>
      </c>
      <c r="U19" s="39">
        <v>0</v>
      </c>
      <c r="V19" s="51">
        <v>0</v>
      </c>
      <c r="W19" s="52">
        <v>0</v>
      </c>
      <c r="X19" s="39">
        <v>0</v>
      </c>
      <c r="Y19" s="39">
        <v>0</v>
      </c>
      <c r="Z19" s="52">
        <v>0</v>
      </c>
      <c r="AA19" s="39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2"/>
    </row>
    <row r="20" spans="2:36">
      <c r="B20" s="2"/>
      <c r="C20" s="37" t="s">
        <v>130</v>
      </c>
      <c r="D20" s="38"/>
      <c r="E20" s="34" t="s">
        <v>103</v>
      </c>
      <c r="F20" s="51">
        <v>0</v>
      </c>
      <c r="G20" s="51">
        <v>0</v>
      </c>
      <c r="H20" s="34" t="s">
        <v>103</v>
      </c>
      <c r="I20" s="34" t="s">
        <v>103</v>
      </c>
      <c r="J20" s="51">
        <v>0</v>
      </c>
      <c r="K20" s="51">
        <v>0</v>
      </c>
      <c r="L20" s="51">
        <v>0</v>
      </c>
      <c r="M20" s="51">
        <v>0</v>
      </c>
      <c r="N20" s="53"/>
      <c r="O20" s="53"/>
      <c r="P20" s="39">
        <v>0</v>
      </c>
      <c r="Q20" s="51">
        <v>0</v>
      </c>
      <c r="R20" s="51">
        <v>0</v>
      </c>
      <c r="S20" s="51">
        <v>0</v>
      </c>
      <c r="T20" s="51">
        <v>0</v>
      </c>
      <c r="U20" s="39">
        <v>0</v>
      </c>
      <c r="V20" s="51">
        <v>0</v>
      </c>
      <c r="W20" s="52">
        <v>0</v>
      </c>
      <c r="X20" s="39">
        <v>0</v>
      </c>
      <c r="Y20" s="39">
        <v>0</v>
      </c>
      <c r="Z20" s="52">
        <v>0</v>
      </c>
      <c r="AA20" s="39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2"/>
    </row>
    <row r="21" spans="2:36">
      <c r="B21" s="2"/>
      <c r="C21" s="37" t="s">
        <v>131</v>
      </c>
      <c r="D21" s="38"/>
      <c r="E21" s="34" t="s">
        <v>103</v>
      </c>
      <c r="F21" s="51">
        <v>0</v>
      </c>
      <c r="G21" s="51">
        <v>0</v>
      </c>
      <c r="H21" s="34" t="s">
        <v>103</v>
      </c>
      <c r="I21" s="34" t="s">
        <v>103</v>
      </c>
      <c r="J21" s="51">
        <v>0</v>
      </c>
      <c r="K21" s="51">
        <v>0</v>
      </c>
      <c r="L21" s="51">
        <v>0</v>
      </c>
      <c r="M21" s="51">
        <v>0</v>
      </c>
      <c r="N21" s="53"/>
      <c r="O21" s="53"/>
      <c r="P21" s="39">
        <v>0</v>
      </c>
      <c r="Q21" s="51">
        <v>0</v>
      </c>
      <c r="R21" s="51">
        <v>0</v>
      </c>
      <c r="S21" s="51">
        <v>0</v>
      </c>
      <c r="T21" s="51">
        <v>0</v>
      </c>
      <c r="U21" s="39">
        <v>0</v>
      </c>
      <c r="V21" s="51">
        <v>0</v>
      </c>
      <c r="W21" s="52">
        <v>0</v>
      </c>
      <c r="X21" s="39">
        <v>0</v>
      </c>
      <c r="Y21" s="39">
        <v>0</v>
      </c>
      <c r="Z21" s="52">
        <v>0</v>
      </c>
      <c r="AA21" s="39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2"/>
    </row>
    <row r="22" spans="2:36">
      <c r="B22" s="2"/>
      <c r="C22" s="37" t="s">
        <v>132</v>
      </c>
      <c r="D22" s="38"/>
      <c r="E22" s="34" t="s">
        <v>103</v>
      </c>
      <c r="F22" s="51">
        <v>0</v>
      </c>
      <c r="G22" s="51">
        <v>0</v>
      </c>
      <c r="H22" s="34" t="s">
        <v>103</v>
      </c>
      <c r="I22" s="34" t="s">
        <v>103</v>
      </c>
      <c r="J22" s="51">
        <v>0</v>
      </c>
      <c r="K22" s="51">
        <v>0</v>
      </c>
      <c r="L22" s="51">
        <v>0</v>
      </c>
      <c r="M22" s="51">
        <v>0</v>
      </c>
      <c r="N22" s="53"/>
      <c r="O22" s="53"/>
      <c r="P22" s="39">
        <v>0</v>
      </c>
      <c r="Q22" s="51">
        <v>0</v>
      </c>
      <c r="R22" s="51">
        <v>0</v>
      </c>
      <c r="S22" s="51">
        <v>0</v>
      </c>
      <c r="T22" s="51">
        <v>0</v>
      </c>
      <c r="U22" s="39">
        <v>0</v>
      </c>
      <c r="V22" s="51">
        <v>0</v>
      </c>
      <c r="W22" s="52">
        <v>0</v>
      </c>
      <c r="X22" s="39">
        <v>0</v>
      </c>
      <c r="Y22" s="39">
        <v>0</v>
      </c>
      <c r="Z22" s="52">
        <v>0</v>
      </c>
      <c r="AA22" s="39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2"/>
    </row>
    <row r="23" spans="2:36">
      <c r="B23" s="2"/>
      <c r="C23" s="37" t="s">
        <v>133</v>
      </c>
      <c r="D23" s="38"/>
      <c r="E23" s="34" t="s">
        <v>103</v>
      </c>
      <c r="F23" s="51">
        <v>0</v>
      </c>
      <c r="G23" s="51">
        <v>0</v>
      </c>
      <c r="H23" s="34" t="s">
        <v>103</v>
      </c>
      <c r="I23" s="34" t="s">
        <v>103</v>
      </c>
      <c r="J23" s="51">
        <v>0</v>
      </c>
      <c r="K23" s="51">
        <v>0</v>
      </c>
      <c r="L23" s="51">
        <v>0</v>
      </c>
      <c r="M23" s="51">
        <v>0</v>
      </c>
      <c r="N23" s="53"/>
      <c r="O23" s="53"/>
      <c r="P23" s="39">
        <v>0</v>
      </c>
      <c r="Q23" s="51">
        <v>0</v>
      </c>
      <c r="R23" s="51">
        <v>0</v>
      </c>
      <c r="S23" s="51">
        <v>0</v>
      </c>
      <c r="T23" s="51">
        <v>0</v>
      </c>
      <c r="U23" s="39">
        <v>0</v>
      </c>
      <c r="V23" s="51">
        <v>0</v>
      </c>
      <c r="W23" s="52">
        <v>0</v>
      </c>
      <c r="X23" s="39">
        <v>0</v>
      </c>
      <c r="Y23" s="39">
        <v>0</v>
      </c>
      <c r="Z23" s="52">
        <v>0</v>
      </c>
      <c r="AA23" s="39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2"/>
    </row>
    <row r="24" spans="2:36">
      <c r="B24" s="2"/>
      <c r="C24" s="37" t="s">
        <v>134</v>
      </c>
      <c r="D24" s="38"/>
      <c r="E24" s="34" t="s">
        <v>103</v>
      </c>
      <c r="F24" s="51">
        <v>0</v>
      </c>
      <c r="G24" s="51">
        <v>0</v>
      </c>
      <c r="H24" s="34" t="s">
        <v>103</v>
      </c>
      <c r="I24" s="34" t="s">
        <v>103</v>
      </c>
      <c r="J24" s="51">
        <v>0</v>
      </c>
      <c r="K24" s="51">
        <v>0</v>
      </c>
      <c r="L24" s="51">
        <v>0</v>
      </c>
      <c r="M24" s="51">
        <v>0</v>
      </c>
      <c r="N24" s="53"/>
      <c r="O24" s="53"/>
      <c r="P24" s="39">
        <v>0</v>
      </c>
      <c r="Q24" s="51">
        <v>0</v>
      </c>
      <c r="R24" s="51">
        <v>0</v>
      </c>
      <c r="S24" s="51">
        <v>0</v>
      </c>
      <c r="T24" s="51">
        <v>0</v>
      </c>
      <c r="U24" s="39">
        <v>0</v>
      </c>
      <c r="V24" s="51">
        <v>0</v>
      </c>
      <c r="W24" s="52">
        <v>0</v>
      </c>
      <c r="X24" s="39">
        <v>0</v>
      </c>
      <c r="Y24" s="39">
        <v>0</v>
      </c>
      <c r="Z24" s="52">
        <v>0</v>
      </c>
      <c r="AA24" s="39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2"/>
    </row>
    <row r="25" spans="2:36">
      <c r="B25" s="2"/>
      <c r="C25" s="37" t="s">
        <v>135</v>
      </c>
      <c r="D25" s="38"/>
      <c r="E25" s="34" t="s">
        <v>103</v>
      </c>
      <c r="F25" s="51">
        <v>0</v>
      </c>
      <c r="G25" s="51">
        <v>0</v>
      </c>
      <c r="H25" s="34" t="s">
        <v>103</v>
      </c>
      <c r="I25" s="34" t="s">
        <v>103</v>
      </c>
      <c r="J25" s="51">
        <v>0</v>
      </c>
      <c r="K25" s="51">
        <v>0</v>
      </c>
      <c r="L25" s="51">
        <v>0</v>
      </c>
      <c r="M25" s="51">
        <v>0</v>
      </c>
      <c r="N25" s="53"/>
      <c r="O25" s="53"/>
      <c r="P25" s="39">
        <v>0</v>
      </c>
      <c r="Q25" s="51">
        <v>0</v>
      </c>
      <c r="R25" s="51">
        <v>0</v>
      </c>
      <c r="S25" s="51">
        <v>0</v>
      </c>
      <c r="T25" s="51">
        <v>0</v>
      </c>
      <c r="U25" s="39">
        <v>0</v>
      </c>
      <c r="V25" s="51">
        <v>0</v>
      </c>
      <c r="W25" s="52">
        <v>0</v>
      </c>
      <c r="X25" s="39">
        <v>0</v>
      </c>
      <c r="Y25" s="39">
        <v>0</v>
      </c>
      <c r="Z25" s="52">
        <v>0</v>
      </c>
      <c r="AA25" s="39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2"/>
    </row>
    <row r="26" spans="2:36">
      <c r="B26" s="2"/>
      <c r="C26" s="37" t="s">
        <v>136</v>
      </c>
      <c r="D26" s="38"/>
      <c r="E26" s="34" t="s">
        <v>103</v>
      </c>
      <c r="F26" s="51">
        <v>0</v>
      </c>
      <c r="G26" s="51">
        <v>0</v>
      </c>
      <c r="H26" s="34" t="s">
        <v>103</v>
      </c>
      <c r="I26" s="34" t="s">
        <v>103</v>
      </c>
      <c r="J26" s="51">
        <v>0</v>
      </c>
      <c r="K26" s="51">
        <v>0</v>
      </c>
      <c r="L26" s="51">
        <v>0</v>
      </c>
      <c r="M26" s="51">
        <v>0</v>
      </c>
      <c r="N26" s="53"/>
      <c r="O26" s="53"/>
      <c r="P26" s="39">
        <v>0</v>
      </c>
      <c r="Q26" s="51">
        <v>0</v>
      </c>
      <c r="R26" s="51">
        <v>0</v>
      </c>
      <c r="S26" s="51">
        <v>0</v>
      </c>
      <c r="T26" s="51">
        <v>0</v>
      </c>
      <c r="U26" s="39">
        <v>0</v>
      </c>
      <c r="V26" s="51">
        <v>0</v>
      </c>
      <c r="W26" s="52">
        <v>0</v>
      </c>
      <c r="X26" s="39">
        <v>0</v>
      </c>
      <c r="Y26" s="39">
        <v>0</v>
      </c>
      <c r="Z26" s="52">
        <v>0</v>
      </c>
      <c r="AA26" s="39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2"/>
    </row>
    <row r="27" spans="2:36">
      <c r="B27" s="2"/>
      <c r="C27" s="37" t="s">
        <v>137</v>
      </c>
      <c r="D27" s="38"/>
      <c r="E27" s="34" t="s">
        <v>103</v>
      </c>
      <c r="F27" s="51">
        <v>0</v>
      </c>
      <c r="G27" s="51">
        <v>0</v>
      </c>
      <c r="H27" s="34" t="s">
        <v>103</v>
      </c>
      <c r="I27" s="34" t="s">
        <v>103</v>
      </c>
      <c r="J27" s="51">
        <v>0</v>
      </c>
      <c r="K27" s="51">
        <v>0</v>
      </c>
      <c r="L27" s="51">
        <v>0</v>
      </c>
      <c r="M27" s="51">
        <v>0</v>
      </c>
      <c r="N27" s="53"/>
      <c r="O27" s="53"/>
      <c r="P27" s="39">
        <v>0</v>
      </c>
      <c r="Q27" s="51">
        <v>0</v>
      </c>
      <c r="R27" s="51">
        <v>0</v>
      </c>
      <c r="S27" s="51">
        <v>0</v>
      </c>
      <c r="T27" s="51">
        <v>0</v>
      </c>
      <c r="U27" s="39">
        <v>0</v>
      </c>
      <c r="V27" s="51">
        <v>0</v>
      </c>
      <c r="W27" s="52">
        <v>0</v>
      </c>
      <c r="X27" s="39">
        <v>0</v>
      </c>
      <c r="Y27" s="39">
        <v>0</v>
      </c>
      <c r="Z27" s="52">
        <v>0</v>
      </c>
      <c r="AA27" s="39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2"/>
    </row>
    <row r="28" spans="2:36">
      <c r="B28" s="2"/>
      <c r="C28" s="37" t="s">
        <v>138</v>
      </c>
      <c r="D28" s="38"/>
      <c r="E28" s="34" t="s">
        <v>103</v>
      </c>
      <c r="F28" s="51">
        <v>0</v>
      </c>
      <c r="G28" s="51">
        <v>0</v>
      </c>
      <c r="H28" s="34" t="s">
        <v>103</v>
      </c>
      <c r="I28" s="34" t="s">
        <v>103</v>
      </c>
      <c r="J28" s="51">
        <v>0</v>
      </c>
      <c r="K28" s="51">
        <v>0</v>
      </c>
      <c r="L28" s="51">
        <v>0</v>
      </c>
      <c r="M28" s="51">
        <v>0</v>
      </c>
      <c r="N28" s="53"/>
      <c r="O28" s="53"/>
      <c r="P28" s="39">
        <v>0</v>
      </c>
      <c r="Q28" s="51">
        <v>0</v>
      </c>
      <c r="R28" s="51">
        <v>0</v>
      </c>
      <c r="S28" s="51">
        <v>0</v>
      </c>
      <c r="T28" s="51">
        <v>0</v>
      </c>
      <c r="U28" s="39">
        <v>0</v>
      </c>
      <c r="V28" s="51">
        <v>0</v>
      </c>
      <c r="W28" s="52">
        <v>0</v>
      </c>
      <c r="X28" s="39">
        <v>0</v>
      </c>
      <c r="Y28" s="39">
        <v>0</v>
      </c>
      <c r="Z28" s="52">
        <v>0</v>
      </c>
      <c r="AA28" s="39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2"/>
    </row>
    <row r="29" spans="2:36">
      <c r="B29" s="2"/>
      <c r="C29" s="37" t="s">
        <v>139</v>
      </c>
      <c r="D29" s="38"/>
      <c r="E29" s="34" t="s">
        <v>103</v>
      </c>
      <c r="F29" s="51">
        <v>0</v>
      </c>
      <c r="G29" s="51">
        <v>0</v>
      </c>
      <c r="H29" s="34" t="s">
        <v>103</v>
      </c>
      <c r="I29" s="34" t="s">
        <v>103</v>
      </c>
      <c r="J29" s="51">
        <v>0</v>
      </c>
      <c r="K29" s="51">
        <v>0</v>
      </c>
      <c r="L29" s="51">
        <v>0</v>
      </c>
      <c r="M29" s="51">
        <v>0</v>
      </c>
      <c r="N29" s="53"/>
      <c r="O29" s="53"/>
      <c r="P29" s="39">
        <v>0</v>
      </c>
      <c r="Q29" s="51">
        <v>0</v>
      </c>
      <c r="R29" s="51">
        <v>0</v>
      </c>
      <c r="S29" s="51">
        <v>0</v>
      </c>
      <c r="T29" s="51">
        <v>0</v>
      </c>
      <c r="U29" s="39">
        <v>0</v>
      </c>
      <c r="V29" s="51">
        <v>0</v>
      </c>
      <c r="W29" s="52">
        <v>0</v>
      </c>
      <c r="X29" s="39">
        <v>0</v>
      </c>
      <c r="Y29" s="39">
        <v>0</v>
      </c>
      <c r="Z29" s="52">
        <v>0</v>
      </c>
      <c r="AA29" s="39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2"/>
    </row>
    <row r="30" spans="2:36">
      <c r="B30" s="2"/>
      <c r="C30" s="37" t="s">
        <v>140</v>
      </c>
      <c r="D30" s="38"/>
      <c r="E30" s="34" t="s">
        <v>103</v>
      </c>
      <c r="F30" s="51">
        <v>0</v>
      </c>
      <c r="G30" s="51">
        <v>0</v>
      </c>
      <c r="H30" s="34" t="s">
        <v>103</v>
      </c>
      <c r="I30" s="34" t="s">
        <v>103</v>
      </c>
      <c r="J30" s="51">
        <v>0</v>
      </c>
      <c r="K30" s="51">
        <v>0</v>
      </c>
      <c r="L30" s="51">
        <v>0</v>
      </c>
      <c r="M30" s="51">
        <v>0</v>
      </c>
      <c r="N30" s="53"/>
      <c r="O30" s="53"/>
      <c r="P30" s="39">
        <v>0</v>
      </c>
      <c r="Q30" s="51">
        <v>0</v>
      </c>
      <c r="R30" s="51">
        <v>0</v>
      </c>
      <c r="S30" s="51">
        <v>0</v>
      </c>
      <c r="T30" s="51">
        <v>0</v>
      </c>
      <c r="U30" s="39">
        <v>0</v>
      </c>
      <c r="V30" s="51">
        <v>0</v>
      </c>
      <c r="W30" s="52">
        <v>0</v>
      </c>
      <c r="X30" s="39">
        <v>0</v>
      </c>
      <c r="Y30" s="39">
        <v>0</v>
      </c>
      <c r="Z30" s="52">
        <v>0</v>
      </c>
      <c r="AA30" s="39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2"/>
    </row>
    <row r="31" spans="2:36">
      <c r="B31" s="2"/>
      <c r="C31" s="37" t="s">
        <v>141</v>
      </c>
      <c r="D31" s="38"/>
      <c r="E31" s="34" t="s">
        <v>103</v>
      </c>
      <c r="F31" s="51">
        <v>0</v>
      </c>
      <c r="G31" s="51">
        <v>0</v>
      </c>
      <c r="H31" s="34" t="s">
        <v>103</v>
      </c>
      <c r="I31" s="34" t="s">
        <v>103</v>
      </c>
      <c r="J31" s="51">
        <v>0</v>
      </c>
      <c r="K31" s="51">
        <v>0</v>
      </c>
      <c r="L31" s="51">
        <v>0</v>
      </c>
      <c r="M31" s="51">
        <v>0</v>
      </c>
      <c r="N31" s="53"/>
      <c r="O31" s="53"/>
      <c r="P31" s="39">
        <v>0</v>
      </c>
      <c r="Q31" s="51">
        <v>0</v>
      </c>
      <c r="R31" s="51">
        <v>0</v>
      </c>
      <c r="S31" s="51">
        <v>0</v>
      </c>
      <c r="T31" s="51">
        <v>0</v>
      </c>
      <c r="U31" s="39">
        <v>0</v>
      </c>
      <c r="V31" s="51">
        <v>0</v>
      </c>
      <c r="W31" s="52">
        <v>0</v>
      </c>
      <c r="X31" s="39">
        <v>0</v>
      </c>
      <c r="Y31" s="39">
        <v>0</v>
      </c>
      <c r="Z31" s="52">
        <v>0</v>
      </c>
      <c r="AA31" s="39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2"/>
    </row>
    <row r="32" spans="2:36">
      <c r="B32" s="2"/>
      <c r="C32" s="37" t="s">
        <v>142</v>
      </c>
      <c r="D32" s="38"/>
      <c r="E32" s="34" t="s">
        <v>103</v>
      </c>
      <c r="F32" s="51">
        <v>0</v>
      </c>
      <c r="G32" s="51">
        <v>0</v>
      </c>
      <c r="H32" s="34" t="s">
        <v>103</v>
      </c>
      <c r="I32" s="34" t="s">
        <v>103</v>
      </c>
      <c r="J32" s="51">
        <v>0</v>
      </c>
      <c r="K32" s="51">
        <v>0</v>
      </c>
      <c r="L32" s="51">
        <v>0</v>
      </c>
      <c r="M32" s="51">
        <v>0</v>
      </c>
      <c r="N32" s="53"/>
      <c r="O32" s="53"/>
      <c r="P32" s="39">
        <v>0</v>
      </c>
      <c r="Q32" s="51">
        <v>0</v>
      </c>
      <c r="R32" s="51">
        <v>0</v>
      </c>
      <c r="S32" s="51">
        <v>0</v>
      </c>
      <c r="T32" s="51">
        <v>0</v>
      </c>
      <c r="U32" s="39">
        <v>0</v>
      </c>
      <c r="V32" s="51">
        <v>0</v>
      </c>
      <c r="W32" s="52">
        <v>0</v>
      </c>
      <c r="X32" s="39">
        <v>0</v>
      </c>
      <c r="Y32" s="39">
        <v>0</v>
      </c>
      <c r="Z32" s="52">
        <v>0</v>
      </c>
      <c r="AA32" s="39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2"/>
    </row>
    <row r="33" spans="2:36">
      <c r="B33" s="2"/>
      <c r="C33" s="37" t="s">
        <v>143</v>
      </c>
      <c r="D33" s="38"/>
      <c r="E33" s="34" t="s">
        <v>103</v>
      </c>
      <c r="F33" s="51">
        <v>0</v>
      </c>
      <c r="G33" s="51">
        <v>0</v>
      </c>
      <c r="H33" s="34" t="s">
        <v>103</v>
      </c>
      <c r="I33" s="34" t="s">
        <v>103</v>
      </c>
      <c r="J33" s="51">
        <v>0</v>
      </c>
      <c r="K33" s="51">
        <v>0</v>
      </c>
      <c r="L33" s="51">
        <v>0</v>
      </c>
      <c r="M33" s="51">
        <v>0</v>
      </c>
      <c r="N33" s="53"/>
      <c r="O33" s="53"/>
      <c r="P33" s="39">
        <v>0</v>
      </c>
      <c r="Q33" s="51">
        <v>0</v>
      </c>
      <c r="R33" s="51">
        <v>0</v>
      </c>
      <c r="S33" s="51">
        <v>0</v>
      </c>
      <c r="T33" s="51">
        <v>0</v>
      </c>
      <c r="U33" s="39">
        <v>0</v>
      </c>
      <c r="V33" s="51">
        <v>0</v>
      </c>
      <c r="W33" s="52">
        <v>0</v>
      </c>
      <c r="X33" s="39">
        <v>0</v>
      </c>
      <c r="Y33" s="39">
        <v>0</v>
      </c>
      <c r="Z33" s="52">
        <v>0</v>
      </c>
      <c r="AA33" s="39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2"/>
    </row>
    <row r="34" spans="2:36">
      <c r="B34" s="2"/>
      <c r="C34" s="37" t="s">
        <v>144</v>
      </c>
      <c r="D34" s="38"/>
      <c r="E34" s="34" t="s">
        <v>103</v>
      </c>
      <c r="F34" s="51">
        <v>0</v>
      </c>
      <c r="G34" s="51">
        <v>0</v>
      </c>
      <c r="H34" s="34" t="s">
        <v>103</v>
      </c>
      <c r="I34" s="34" t="s">
        <v>103</v>
      </c>
      <c r="J34" s="51">
        <v>0</v>
      </c>
      <c r="K34" s="51">
        <v>0</v>
      </c>
      <c r="L34" s="51">
        <v>0</v>
      </c>
      <c r="M34" s="51">
        <v>0</v>
      </c>
      <c r="N34" s="53"/>
      <c r="O34" s="53"/>
      <c r="P34" s="39">
        <v>0</v>
      </c>
      <c r="Q34" s="51">
        <v>0</v>
      </c>
      <c r="R34" s="51">
        <v>0</v>
      </c>
      <c r="S34" s="51">
        <v>0</v>
      </c>
      <c r="T34" s="51">
        <v>0</v>
      </c>
      <c r="U34" s="39">
        <v>0</v>
      </c>
      <c r="V34" s="51">
        <v>0</v>
      </c>
      <c r="W34" s="52">
        <v>0</v>
      </c>
      <c r="X34" s="39">
        <v>0</v>
      </c>
      <c r="Y34" s="39">
        <v>0</v>
      </c>
      <c r="Z34" s="52">
        <v>0</v>
      </c>
      <c r="AA34" s="39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2"/>
    </row>
    <row r="35" spans="2:36">
      <c r="B35" s="2"/>
      <c r="C35" s="37" t="s">
        <v>145</v>
      </c>
      <c r="D35" s="38"/>
      <c r="E35" s="34" t="s">
        <v>103</v>
      </c>
      <c r="F35" s="51">
        <v>0</v>
      </c>
      <c r="G35" s="51">
        <v>0</v>
      </c>
      <c r="H35" s="34" t="s">
        <v>103</v>
      </c>
      <c r="I35" s="34" t="s">
        <v>103</v>
      </c>
      <c r="J35" s="51">
        <v>0</v>
      </c>
      <c r="K35" s="51">
        <v>0</v>
      </c>
      <c r="L35" s="51">
        <v>0</v>
      </c>
      <c r="M35" s="51">
        <v>0</v>
      </c>
      <c r="N35" s="53"/>
      <c r="O35" s="53"/>
      <c r="P35" s="39">
        <v>0</v>
      </c>
      <c r="Q35" s="51">
        <v>0</v>
      </c>
      <c r="R35" s="51">
        <v>0</v>
      </c>
      <c r="S35" s="51">
        <v>0</v>
      </c>
      <c r="T35" s="51">
        <v>0</v>
      </c>
      <c r="U35" s="39">
        <v>0</v>
      </c>
      <c r="V35" s="51">
        <v>0</v>
      </c>
      <c r="W35" s="52">
        <v>0</v>
      </c>
      <c r="X35" s="39">
        <v>0</v>
      </c>
      <c r="Y35" s="39">
        <v>0</v>
      </c>
      <c r="Z35" s="52">
        <v>0</v>
      </c>
      <c r="AA35" s="39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2"/>
    </row>
    <row r="36" spans="2:36">
      <c r="B36" s="2"/>
      <c r="C36" s="37" t="s">
        <v>146</v>
      </c>
      <c r="D36" s="38"/>
      <c r="E36" s="34" t="s">
        <v>103</v>
      </c>
      <c r="F36" s="51">
        <v>0</v>
      </c>
      <c r="G36" s="51">
        <v>0</v>
      </c>
      <c r="H36" s="34" t="s">
        <v>103</v>
      </c>
      <c r="I36" s="34" t="s">
        <v>103</v>
      </c>
      <c r="J36" s="51">
        <v>0</v>
      </c>
      <c r="K36" s="51">
        <v>0</v>
      </c>
      <c r="L36" s="51">
        <v>0</v>
      </c>
      <c r="M36" s="51">
        <v>0</v>
      </c>
      <c r="N36" s="53"/>
      <c r="O36" s="53"/>
      <c r="P36" s="39">
        <v>0</v>
      </c>
      <c r="Q36" s="51">
        <v>0</v>
      </c>
      <c r="R36" s="51">
        <v>0</v>
      </c>
      <c r="S36" s="51">
        <v>0</v>
      </c>
      <c r="T36" s="51">
        <v>0</v>
      </c>
      <c r="U36" s="39">
        <v>0</v>
      </c>
      <c r="V36" s="51">
        <v>0</v>
      </c>
      <c r="W36" s="52">
        <v>0</v>
      </c>
      <c r="X36" s="39">
        <v>0</v>
      </c>
      <c r="Y36" s="39">
        <v>0</v>
      </c>
      <c r="Z36" s="52">
        <v>0</v>
      </c>
      <c r="AA36" s="39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2"/>
    </row>
    <row r="37" spans="2:36">
      <c r="B37" s="2"/>
      <c r="C37" s="37" t="s">
        <v>147</v>
      </c>
      <c r="D37" s="38"/>
      <c r="E37" s="34" t="s">
        <v>103</v>
      </c>
      <c r="F37" s="51">
        <v>0</v>
      </c>
      <c r="G37" s="51">
        <v>0</v>
      </c>
      <c r="H37" s="34" t="s">
        <v>103</v>
      </c>
      <c r="I37" s="34" t="s">
        <v>103</v>
      </c>
      <c r="J37" s="51">
        <v>0</v>
      </c>
      <c r="K37" s="51">
        <v>0</v>
      </c>
      <c r="L37" s="51">
        <v>0</v>
      </c>
      <c r="M37" s="51">
        <v>0</v>
      </c>
      <c r="N37" s="53"/>
      <c r="O37" s="53"/>
      <c r="P37" s="39">
        <v>0</v>
      </c>
      <c r="Q37" s="51">
        <v>0</v>
      </c>
      <c r="R37" s="51">
        <v>0</v>
      </c>
      <c r="S37" s="51">
        <v>0</v>
      </c>
      <c r="T37" s="51">
        <v>0</v>
      </c>
      <c r="U37" s="39">
        <v>0</v>
      </c>
      <c r="V37" s="51">
        <v>0</v>
      </c>
      <c r="W37" s="52">
        <v>0</v>
      </c>
      <c r="X37" s="39">
        <v>0</v>
      </c>
      <c r="Y37" s="39">
        <v>0</v>
      </c>
      <c r="Z37" s="52">
        <v>0</v>
      </c>
      <c r="AA37" s="39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2"/>
    </row>
    <row r="38" spans="2:36">
      <c r="B38" s="2"/>
      <c r="C38" s="37" t="s">
        <v>148</v>
      </c>
      <c r="D38" s="38"/>
      <c r="E38" s="34" t="s">
        <v>103</v>
      </c>
      <c r="F38" s="51">
        <v>0</v>
      </c>
      <c r="G38" s="51">
        <v>0</v>
      </c>
      <c r="H38" s="34" t="s">
        <v>103</v>
      </c>
      <c r="I38" s="34" t="s">
        <v>103</v>
      </c>
      <c r="J38" s="51">
        <v>0</v>
      </c>
      <c r="K38" s="51">
        <v>0</v>
      </c>
      <c r="L38" s="51">
        <v>0</v>
      </c>
      <c r="M38" s="51">
        <v>0</v>
      </c>
      <c r="N38" s="53"/>
      <c r="O38" s="53"/>
      <c r="P38" s="39">
        <v>0</v>
      </c>
      <c r="Q38" s="51">
        <v>0</v>
      </c>
      <c r="R38" s="51">
        <v>0</v>
      </c>
      <c r="S38" s="51">
        <v>0</v>
      </c>
      <c r="T38" s="51">
        <v>0</v>
      </c>
      <c r="U38" s="39">
        <v>0</v>
      </c>
      <c r="V38" s="51">
        <v>0</v>
      </c>
      <c r="W38" s="52">
        <v>0</v>
      </c>
      <c r="X38" s="39">
        <v>0</v>
      </c>
      <c r="Y38" s="39">
        <v>0</v>
      </c>
      <c r="Z38" s="52">
        <v>0</v>
      </c>
      <c r="AA38" s="39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2"/>
    </row>
    <row r="39" spans="2:36">
      <c r="B39" s="2"/>
      <c r="C39" s="37" t="s">
        <v>149</v>
      </c>
      <c r="D39" s="38"/>
      <c r="E39" s="34" t="s">
        <v>103</v>
      </c>
      <c r="F39" s="51">
        <v>0</v>
      </c>
      <c r="G39" s="51">
        <v>0</v>
      </c>
      <c r="H39" s="34" t="s">
        <v>103</v>
      </c>
      <c r="I39" s="34" t="s">
        <v>103</v>
      </c>
      <c r="J39" s="51">
        <v>0</v>
      </c>
      <c r="K39" s="51">
        <v>0</v>
      </c>
      <c r="L39" s="51">
        <v>0</v>
      </c>
      <c r="M39" s="51">
        <v>0</v>
      </c>
      <c r="N39" s="53"/>
      <c r="O39" s="53"/>
      <c r="P39" s="39">
        <v>0</v>
      </c>
      <c r="Q39" s="51">
        <v>0</v>
      </c>
      <c r="R39" s="51">
        <v>0</v>
      </c>
      <c r="S39" s="51">
        <v>0</v>
      </c>
      <c r="T39" s="51">
        <v>0</v>
      </c>
      <c r="U39" s="39">
        <v>0</v>
      </c>
      <c r="V39" s="51">
        <v>0</v>
      </c>
      <c r="W39" s="52">
        <v>0</v>
      </c>
      <c r="X39" s="39">
        <v>0</v>
      </c>
      <c r="Y39" s="39">
        <v>0</v>
      </c>
      <c r="Z39" s="52">
        <v>0</v>
      </c>
      <c r="AA39" s="39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2"/>
    </row>
    <row r="40" spans="2:36">
      <c r="B40" s="2"/>
      <c r="C40" s="37" t="s">
        <v>150</v>
      </c>
      <c r="D40" s="38"/>
      <c r="E40" s="34" t="s">
        <v>103</v>
      </c>
      <c r="F40" s="51">
        <v>0</v>
      </c>
      <c r="G40" s="51">
        <v>0</v>
      </c>
      <c r="H40" s="34" t="s">
        <v>103</v>
      </c>
      <c r="I40" s="34" t="s">
        <v>103</v>
      </c>
      <c r="J40" s="51">
        <v>0</v>
      </c>
      <c r="K40" s="51">
        <v>0</v>
      </c>
      <c r="L40" s="51">
        <v>0</v>
      </c>
      <c r="M40" s="51">
        <v>0</v>
      </c>
      <c r="N40" s="53"/>
      <c r="O40" s="53"/>
      <c r="P40" s="39">
        <v>0</v>
      </c>
      <c r="Q40" s="51">
        <v>0</v>
      </c>
      <c r="R40" s="51">
        <v>0</v>
      </c>
      <c r="S40" s="51">
        <v>0</v>
      </c>
      <c r="T40" s="51">
        <v>0</v>
      </c>
      <c r="U40" s="39">
        <v>0</v>
      </c>
      <c r="V40" s="51">
        <v>0</v>
      </c>
      <c r="W40" s="52">
        <v>0</v>
      </c>
      <c r="X40" s="39">
        <v>0</v>
      </c>
      <c r="Y40" s="39">
        <v>0</v>
      </c>
      <c r="Z40" s="52">
        <v>0</v>
      </c>
      <c r="AA40" s="39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2"/>
    </row>
    <row r="41" spans="2:36">
      <c r="B41" s="2"/>
      <c r="C41" s="37" t="s">
        <v>151</v>
      </c>
      <c r="D41" s="38"/>
      <c r="E41" s="34" t="s">
        <v>103</v>
      </c>
      <c r="F41" s="51">
        <v>0</v>
      </c>
      <c r="G41" s="51">
        <v>0</v>
      </c>
      <c r="H41" s="34" t="s">
        <v>103</v>
      </c>
      <c r="I41" s="34" t="s">
        <v>103</v>
      </c>
      <c r="J41" s="51">
        <v>0</v>
      </c>
      <c r="K41" s="51">
        <v>0</v>
      </c>
      <c r="L41" s="51">
        <v>0</v>
      </c>
      <c r="M41" s="51">
        <v>0</v>
      </c>
      <c r="N41" s="53"/>
      <c r="O41" s="53"/>
      <c r="P41" s="39">
        <v>0</v>
      </c>
      <c r="Q41" s="51">
        <v>0</v>
      </c>
      <c r="R41" s="51">
        <v>0</v>
      </c>
      <c r="S41" s="51">
        <v>0</v>
      </c>
      <c r="T41" s="51">
        <v>0</v>
      </c>
      <c r="U41" s="39">
        <v>0</v>
      </c>
      <c r="V41" s="51">
        <v>0</v>
      </c>
      <c r="W41" s="52">
        <v>0</v>
      </c>
      <c r="X41" s="39">
        <v>0</v>
      </c>
      <c r="Y41" s="39">
        <v>0</v>
      </c>
      <c r="Z41" s="52">
        <v>0</v>
      </c>
      <c r="AA41" s="39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2"/>
    </row>
    <row r="42" spans="2:36">
      <c r="B42" s="2"/>
      <c r="C42" s="37" t="s">
        <v>152</v>
      </c>
      <c r="D42" s="38"/>
      <c r="E42" s="34" t="s">
        <v>103</v>
      </c>
      <c r="F42" s="51">
        <v>0</v>
      </c>
      <c r="G42" s="51">
        <v>0</v>
      </c>
      <c r="H42" s="34" t="s">
        <v>103</v>
      </c>
      <c r="I42" s="34" t="s">
        <v>103</v>
      </c>
      <c r="J42" s="51">
        <v>0</v>
      </c>
      <c r="K42" s="51">
        <v>0</v>
      </c>
      <c r="L42" s="51">
        <v>0</v>
      </c>
      <c r="M42" s="51">
        <v>0</v>
      </c>
      <c r="N42" s="53"/>
      <c r="O42" s="53"/>
      <c r="P42" s="39">
        <v>0</v>
      </c>
      <c r="Q42" s="51">
        <v>0</v>
      </c>
      <c r="R42" s="51">
        <v>0</v>
      </c>
      <c r="S42" s="51">
        <v>0</v>
      </c>
      <c r="T42" s="51">
        <v>0</v>
      </c>
      <c r="U42" s="39">
        <v>0</v>
      </c>
      <c r="V42" s="51">
        <v>0</v>
      </c>
      <c r="W42" s="52">
        <v>0</v>
      </c>
      <c r="X42" s="39">
        <v>0</v>
      </c>
      <c r="Y42" s="39">
        <v>0</v>
      </c>
      <c r="Z42" s="52">
        <v>0</v>
      </c>
      <c r="AA42" s="39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2"/>
    </row>
    <row r="43" spans="2:36">
      <c r="B43" s="2"/>
      <c r="C43" s="37" t="s">
        <v>153</v>
      </c>
      <c r="D43" s="38"/>
      <c r="E43" s="34" t="s">
        <v>103</v>
      </c>
      <c r="F43" s="51">
        <v>0</v>
      </c>
      <c r="G43" s="51">
        <v>0</v>
      </c>
      <c r="H43" s="34" t="s">
        <v>103</v>
      </c>
      <c r="I43" s="34" t="s">
        <v>103</v>
      </c>
      <c r="J43" s="51">
        <v>0</v>
      </c>
      <c r="K43" s="51">
        <v>0</v>
      </c>
      <c r="L43" s="51">
        <v>0</v>
      </c>
      <c r="M43" s="51">
        <v>0</v>
      </c>
      <c r="N43" s="53"/>
      <c r="O43" s="53"/>
      <c r="P43" s="39">
        <v>0</v>
      </c>
      <c r="Q43" s="51">
        <v>0</v>
      </c>
      <c r="R43" s="51">
        <v>0</v>
      </c>
      <c r="S43" s="51">
        <v>0</v>
      </c>
      <c r="T43" s="51">
        <v>0</v>
      </c>
      <c r="U43" s="39">
        <v>0</v>
      </c>
      <c r="V43" s="51">
        <v>0</v>
      </c>
      <c r="W43" s="52">
        <v>0</v>
      </c>
      <c r="X43" s="39">
        <v>0</v>
      </c>
      <c r="Y43" s="39">
        <v>0</v>
      </c>
      <c r="Z43" s="52">
        <v>0</v>
      </c>
      <c r="AA43" s="39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2"/>
    </row>
    <row r="44" spans="2:36">
      <c r="B44" s="2"/>
      <c r="C44" s="37" t="s">
        <v>154</v>
      </c>
      <c r="D44" s="38"/>
      <c r="E44" s="34" t="s">
        <v>103</v>
      </c>
      <c r="F44" s="51">
        <v>0</v>
      </c>
      <c r="G44" s="51">
        <v>0</v>
      </c>
      <c r="H44" s="34" t="s">
        <v>103</v>
      </c>
      <c r="I44" s="34" t="s">
        <v>103</v>
      </c>
      <c r="J44" s="51">
        <v>0</v>
      </c>
      <c r="K44" s="51">
        <v>0</v>
      </c>
      <c r="L44" s="51">
        <v>0</v>
      </c>
      <c r="M44" s="51">
        <v>0</v>
      </c>
      <c r="N44" s="53"/>
      <c r="O44" s="53"/>
      <c r="P44" s="39">
        <v>0</v>
      </c>
      <c r="Q44" s="51">
        <v>0</v>
      </c>
      <c r="R44" s="51">
        <v>0</v>
      </c>
      <c r="S44" s="51">
        <v>0</v>
      </c>
      <c r="T44" s="51">
        <v>0</v>
      </c>
      <c r="U44" s="39">
        <v>0</v>
      </c>
      <c r="V44" s="51">
        <v>0</v>
      </c>
      <c r="W44" s="52">
        <v>0</v>
      </c>
      <c r="X44" s="39">
        <v>0</v>
      </c>
      <c r="Y44" s="39">
        <v>0</v>
      </c>
      <c r="Z44" s="52">
        <v>0</v>
      </c>
      <c r="AA44" s="39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2"/>
    </row>
    <row r="45" spans="2:36">
      <c r="B45" s="2"/>
      <c r="C45" s="37" t="s">
        <v>155</v>
      </c>
      <c r="D45" s="38"/>
      <c r="E45" s="34" t="s">
        <v>103</v>
      </c>
      <c r="F45" s="51">
        <v>0</v>
      </c>
      <c r="G45" s="51">
        <v>0</v>
      </c>
      <c r="H45" s="34" t="s">
        <v>103</v>
      </c>
      <c r="I45" s="34" t="s">
        <v>103</v>
      </c>
      <c r="J45" s="51">
        <v>0</v>
      </c>
      <c r="K45" s="51">
        <v>0</v>
      </c>
      <c r="L45" s="51">
        <v>0</v>
      </c>
      <c r="M45" s="51">
        <v>0</v>
      </c>
      <c r="N45" s="53"/>
      <c r="O45" s="53"/>
      <c r="P45" s="39">
        <v>0</v>
      </c>
      <c r="Q45" s="51">
        <v>0</v>
      </c>
      <c r="R45" s="51">
        <v>0</v>
      </c>
      <c r="S45" s="51">
        <v>0</v>
      </c>
      <c r="T45" s="51">
        <v>0</v>
      </c>
      <c r="U45" s="39">
        <v>0</v>
      </c>
      <c r="V45" s="51">
        <v>0</v>
      </c>
      <c r="W45" s="52">
        <v>0</v>
      </c>
      <c r="X45" s="39">
        <v>0</v>
      </c>
      <c r="Y45" s="39">
        <v>0</v>
      </c>
      <c r="Z45" s="52">
        <v>0</v>
      </c>
      <c r="AA45" s="39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2"/>
    </row>
    <row r="46" spans="2:36">
      <c r="B46" s="2"/>
      <c r="C46" s="37" t="s">
        <v>156</v>
      </c>
      <c r="D46" s="38"/>
      <c r="E46" s="34" t="s">
        <v>103</v>
      </c>
      <c r="F46" s="51">
        <v>0</v>
      </c>
      <c r="G46" s="51">
        <v>0</v>
      </c>
      <c r="H46" s="34" t="s">
        <v>103</v>
      </c>
      <c r="I46" s="34" t="s">
        <v>103</v>
      </c>
      <c r="J46" s="51">
        <v>0</v>
      </c>
      <c r="K46" s="51">
        <v>0</v>
      </c>
      <c r="L46" s="51">
        <v>0</v>
      </c>
      <c r="M46" s="51">
        <v>0</v>
      </c>
      <c r="N46" s="53"/>
      <c r="O46" s="53"/>
      <c r="P46" s="39">
        <v>0</v>
      </c>
      <c r="Q46" s="51">
        <v>0</v>
      </c>
      <c r="R46" s="51">
        <v>0</v>
      </c>
      <c r="S46" s="51">
        <v>0</v>
      </c>
      <c r="T46" s="51">
        <v>0</v>
      </c>
      <c r="U46" s="39">
        <v>0</v>
      </c>
      <c r="V46" s="51">
        <v>0</v>
      </c>
      <c r="W46" s="52">
        <v>0</v>
      </c>
      <c r="X46" s="39">
        <v>0</v>
      </c>
      <c r="Y46" s="39">
        <v>0</v>
      </c>
      <c r="Z46" s="52">
        <v>0</v>
      </c>
      <c r="AA46" s="39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2"/>
    </row>
    <row r="47" spans="2:36">
      <c r="B47" s="2"/>
      <c r="C47" s="37" t="s">
        <v>157</v>
      </c>
      <c r="D47" s="38"/>
      <c r="E47" s="34" t="s">
        <v>103</v>
      </c>
      <c r="F47" s="51">
        <v>0</v>
      </c>
      <c r="G47" s="51">
        <v>0</v>
      </c>
      <c r="H47" s="34" t="s">
        <v>103</v>
      </c>
      <c r="I47" s="34" t="s">
        <v>103</v>
      </c>
      <c r="J47" s="51">
        <v>0</v>
      </c>
      <c r="K47" s="51">
        <v>0</v>
      </c>
      <c r="L47" s="51">
        <v>0</v>
      </c>
      <c r="M47" s="51">
        <v>0</v>
      </c>
      <c r="N47" s="53"/>
      <c r="O47" s="53"/>
      <c r="P47" s="39">
        <v>0</v>
      </c>
      <c r="Q47" s="51">
        <v>0</v>
      </c>
      <c r="R47" s="51">
        <v>0</v>
      </c>
      <c r="S47" s="51">
        <v>0</v>
      </c>
      <c r="T47" s="51">
        <v>0</v>
      </c>
      <c r="U47" s="39">
        <v>0</v>
      </c>
      <c r="V47" s="51">
        <v>0</v>
      </c>
      <c r="W47" s="52">
        <v>0</v>
      </c>
      <c r="X47" s="39">
        <v>0</v>
      </c>
      <c r="Y47" s="39">
        <v>0</v>
      </c>
      <c r="Z47" s="52">
        <v>0</v>
      </c>
      <c r="AA47" s="39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2"/>
    </row>
    <row r="48" spans="2:36">
      <c r="B48" s="2"/>
      <c r="C48" s="37" t="s">
        <v>158</v>
      </c>
      <c r="D48" s="38"/>
      <c r="E48" s="34" t="s">
        <v>103</v>
      </c>
      <c r="F48" s="51">
        <v>0</v>
      </c>
      <c r="G48" s="51">
        <v>0</v>
      </c>
      <c r="H48" s="34" t="s">
        <v>103</v>
      </c>
      <c r="I48" s="34" t="s">
        <v>103</v>
      </c>
      <c r="J48" s="51">
        <v>0</v>
      </c>
      <c r="K48" s="51">
        <v>0</v>
      </c>
      <c r="L48" s="51">
        <v>0</v>
      </c>
      <c r="M48" s="51">
        <v>0</v>
      </c>
      <c r="N48" s="53"/>
      <c r="O48" s="53"/>
      <c r="P48" s="39">
        <v>0</v>
      </c>
      <c r="Q48" s="51">
        <v>0</v>
      </c>
      <c r="R48" s="51">
        <v>0</v>
      </c>
      <c r="S48" s="51">
        <v>0</v>
      </c>
      <c r="T48" s="51">
        <v>0</v>
      </c>
      <c r="U48" s="39">
        <v>0</v>
      </c>
      <c r="V48" s="51">
        <v>0</v>
      </c>
      <c r="W48" s="52">
        <v>0</v>
      </c>
      <c r="X48" s="39">
        <v>0</v>
      </c>
      <c r="Y48" s="39">
        <v>0</v>
      </c>
      <c r="Z48" s="52">
        <v>0</v>
      </c>
      <c r="AA48" s="39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2"/>
    </row>
    <row r="49" spans="2:36">
      <c r="B49" s="2"/>
      <c r="C49" s="37" t="s">
        <v>159</v>
      </c>
      <c r="D49" s="38"/>
      <c r="E49" s="34" t="s">
        <v>103</v>
      </c>
      <c r="F49" s="51">
        <v>0</v>
      </c>
      <c r="G49" s="51">
        <v>0</v>
      </c>
      <c r="H49" s="34" t="s">
        <v>103</v>
      </c>
      <c r="I49" s="34" t="s">
        <v>103</v>
      </c>
      <c r="J49" s="51">
        <v>0</v>
      </c>
      <c r="K49" s="51">
        <v>0</v>
      </c>
      <c r="L49" s="51">
        <v>0</v>
      </c>
      <c r="M49" s="51">
        <v>0</v>
      </c>
      <c r="N49" s="53"/>
      <c r="O49" s="53"/>
      <c r="P49" s="39">
        <v>0</v>
      </c>
      <c r="Q49" s="51">
        <v>0</v>
      </c>
      <c r="R49" s="51">
        <v>0</v>
      </c>
      <c r="S49" s="51">
        <v>0</v>
      </c>
      <c r="T49" s="51">
        <v>0</v>
      </c>
      <c r="U49" s="39">
        <v>0</v>
      </c>
      <c r="V49" s="51">
        <v>0</v>
      </c>
      <c r="W49" s="52">
        <v>0</v>
      </c>
      <c r="X49" s="39">
        <v>0</v>
      </c>
      <c r="Y49" s="39">
        <v>0</v>
      </c>
      <c r="Z49" s="52">
        <v>0</v>
      </c>
      <c r="AA49" s="39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2"/>
    </row>
    <row r="50" spans="2:36">
      <c r="B50" s="2"/>
      <c r="C50" s="37" t="s">
        <v>160</v>
      </c>
      <c r="D50" s="38"/>
      <c r="E50" s="34" t="s">
        <v>103</v>
      </c>
      <c r="F50" s="51">
        <v>0</v>
      </c>
      <c r="G50" s="51">
        <v>0</v>
      </c>
      <c r="H50" s="34" t="s">
        <v>103</v>
      </c>
      <c r="I50" s="34" t="s">
        <v>103</v>
      </c>
      <c r="J50" s="51">
        <v>0</v>
      </c>
      <c r="K50" s="51">
        <v>0</v>
      </c>
      <c r="L50" s="51">
        <v>0</v>
      </c>
      <c r="M50" s="51">
        <v>0</v>
      </c>
      <c r="N50" s="53"/>
      <c r="O50" s="53"/>
      <c r="P50" s="39">
        <v>0</v>
      </c>
      <c r="Q50" s="51">
        <v>0</v>
      </c>
      <c r="R50" s="51">
        <v>0</v>
      </c>
      <c r="S50" s="51">
        <v>0</v>
      </c>
      <c r="T50" s="51">
        <v>0</v>
      </c>
      <c r="U50" s="39">
        <v>0</v>
      </c>
      <c r="V50" s="51">
        <v>0</v>
      </c>
      <c r="W50" s="52">
        <v>0</v>
      </c>
      <c r="X50" s="39">
        <v>0</v>
      </c>
      <c r="Y50" s="39">
        <v>0</v>
      </c>
      <c r="Z50" s="52">
        <v>0</v>
      </c>
      <c r="AA50" s="39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2"/>
    </row>
    <row r="51" spans="2:36">
      <c r="B51" s="2"/>
      <c r="C51" s="37" t="s">
        <v>161</v>
      </c>
      <c r="D51" s="38"/>
      <c r="E51" s="34" t="s">
        <v>103</v>
      </c>
      <c r="F51" s="51">
        <v>0</v>
      </c>
      <c r="G51" s="51">
        <v>0</v>
      </c>
      <c r="H51" s="34" t="s">
        <v>103</v>
      </c>
      <c r="I51" s="34" t="s">
        <v>103</v>
      </c>
      <c r="J51" s="51">
        <v>0</v>
      </c>
      <c r="K51" s="51">
        <v>0</v>
      </c>
      <c r="L51" s="51">
        <v>0</v>
      </c>
      <c r="M51" s="51">
        <v>0</v>
      </c>
      <c r="N51" s="53"/>
      <c r="O51" s="53"/>
      <c r="P51" s="39">
        <v>0</v>
      </c>
      <c r="Q51" s="51">
        <v>0</v>
      </c>
      <c r="R51" s="51">
        <v>0</v>
      </c>
      <c r="S51" s="51">
        <v>0</v>
      </c>
      <c r="T51" s="51">
        <v>0</v>
      </c>
      <c r="U51" s="39">
        <v>0</v>
      </c>
      <c r="V51" s="51">
        <v>0</v>
      </c>
      <c r="W51" s="52">
        <v>0</v>
      </c>
      <c r="X51" s="39">
        <v>0</v>
      </c>
      <c r="Y51" s="39">
        <v>0</v>
      </c>
      <c r="Z51" s="52">
        <v>0</v>
      </c>
      <c r="AA51" s="39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2"/>
    </row>
    <row r="52" spans="2:36">
      <c r="B52" s="2"/>
      <c r="C52" s="37" t="s">
        <v>162</v>
      </c>
      <c r="D52" s="38"/>
      <c r="E52" s="34" t="s">
        <v>103</v>
      </c>
      <c r="F52" s="51">
        <v>0</v>
      </c>
      <c r="G52" s="51">
        <v>0</v>
      </c>
      <c r="H52" s="34" t="s">
        <v>103</v>
      </c>
      <c r="I52" s="34" t="s">
        <v>103</v>
      </c>
      <c r="J52" s="51">
        <v>0</v>
      </c>
      <c r="K52" s="51">
        <v>0</v>
      </c>
      <c r="L52" s="51">
        <v>0</v>
      </c>
      <c r="M52" s="51">
        <v>0</v>
      </c>
      <c r="N52" s="53"/>
      <c r="O52" s="53"/>
      <c r="P52" s="39">
        <v>0</v>
      </c>
      <c r="Q52" s="51">
        <v>0</v>
      </c>
      <c r="R52" s="51">
        <v>0</v>
      </c>
      <c r="S52" s="51">
        <v>0</v>
      </c>
      <c r="T52" s="51">
        <v>0</v>
      </c>
      <c r="U52" s="39">
        <v>0</v>
      </c>
      <c r="V52" s="51">
        <v>0</v>
      </c>
      <c r="W52" s="52">
        <v>0</v>
      </c>
      <c r="X52" s="39">
        <v>0</v>
      </c>
      <c r="Y52" s="39">
        <v>0</v>
      </c>
      <c r="Z52" s="52">
        <v>0</v>
      </c>
      <c r="AA52" s="39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2"/>
    </row>
    <row r="53" spans="2:36">
      <c r="B53" s="2"/>
      <c r="C53" s="37" t="s">
        <v>163</v>
      </c>
      <c r="D53" s="38"/>
      <c r="E53" s="34" t="s">
        <v>103</v>
      </c>
      <c r="F53" s="51">
        <v>0</v>
      </c>
      <c r="G53" s="51">
        <v>0</v>
      </c>
      <c r="H53" s="34" t="s">
        <v>103</v>
      </c>
      <c r="I53" s="34" t="s">
        <v>103</v>
      </c>
      <c r="J53" s="51">
        <v>0</v>
      </c>
      <c r="K53" s="51">
        <v>0</v>
      </c>
      <c r="L53" s="51">
        <v>0</v>
      </c>
      <c r="M53" s="51">
        <v>0</v>
      </c>
      <c r="N53" s="53"/>
      <c r="O53" s="53"/>
      <c r="P53" s="39">
        <v>0</v>
      </c>
      <c r="Q53" s="51">
        <v>0</v>
      </c>
      <c r="R53" s="51">
        <v>0</v>
      </c>
      <c r="S53" s="51">
        <v>0</v>
      </c>
      <c r="T53" s="51">
        <v>0</v>
      </c>
      <c r="U53" s="39">
        <v>0</v>
      </c>
      <c r="V53" s="51">
        <v>0</v>
      </c>
      <c r="W53" s="52">
        <v>0</v>
      </c>
      <c r="X53" s="39">
        <v>0</v>
      </c>
      <c r="Y53" s="39">
        <v>0</v>
      </c>
      <c r="Z53" s="52">
        <v>0</v>
      </c>
      <c r="AA53" s="39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2"/>
    </row>
    <row r="54" spans="2:36">
      <c r="B54" s="2"/>
      <c r="C54" s="37" t="s">
        <v>164</v>
      </c>
      <c r="D54" s="38"/>
      <c r="E54" s="34" t="s">
        <v>103</v>
      </c>
      <c r="F54" s="51">
        <v>0</v>
      </c>
      <c r="G54" s="51">
        <v>0</v>
      </c>
      <c r="H54" s="34" t="s">
        <v>103</v>
      </c>
      <c r="I54" s="34" t="s">
        <v>103</v>
      </c>
      <c r="J54" s="51">
        <v>0</v>
      </c>
      <c r="K54" s="51">
        <v>0</v>
      </c>
      <c r="L54" s="51">
        <v>0</v>
      </c>
      <c r="M54" s="51">
        <v>0</v>
      </c>
      <c r="N54" s="53"/>
      <c r="O54" s="53"/>
      <c r="P54" s="39">
        <v>0</v>
      </c>
      <c r="Q54" s="51">
        <v>0</v>
      </c>
      <c r="R54" s="51">
        <v>0</v>
      </c>
      <c r="S54" s="51">
        <v>0</v>
      </c>
      <c r="T54" s="51">
        <v>0</v>
      </c>
      <c r="U54" s="39">
        <v>0</v>
      </c>
      <c r="V54" s="51">
        <v>0</v>
      </c>
      <c r="W54" s="52">
        <v>0</v>
      </c>
      <c r="X54" s="39">
        <v>0</v>
      </c>
      <c r="Y54" s="39">
        <v>0</v>
      </c>
      <c r="Z54" s="52">
        <v>0</v>
      </c>
      <c r="AA54" s="39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2"/>
    </row>
    <row r="55" spans="2:36">
      <c r="B55" s="2"/>
      <c r="C55" s="37" t="s">
        <v>165</v>
      </c>
      <c r="D55" s="38"/>
      <c r="E55" s="34" t="s">
        <v>103</v>
      </c>
      <c r="F55" s="51">
        <v>0</v>
      </c>
      <c r="G55" s="51">
        <v>0</v>
      </c>
      <c r="H55" s="34" t="s">
        <v>103</v>
      </c>
      <c r="I55" s="34" t="s">
        <v>103</v>
      </c>
      <c r="J55" s="51">
        <v>0</v>
      </c>
      <c r="K55" s="51">
        <v>0</v>
      </c>
      <c r="L55" s="51">
        <v>0</v>
      </c>
      <c r="M55" s="51">
        <v>0</v>
      </c>
      <c r="N55" s="53"/>
      <c r="O55" s="53"/>
      <c r="P55" s="39">
        <v>0</v>
      </c>
      <c r="Q55" s="51">
        <v>0</v>
      </c>
      <c r="R55" s="51">
        <v>0</v>
      </c>
      <c r="S55" s="51">
        <v>0</v>
      </c>
      <c r="T55" s="51">
        <v>0</v>
      </c>
      <c r="U55" s="39">
        <v>0</v>
      </c>
      <c r="V55" s="51">
        <v>0</v>
      </c>
      <c r="W55" s="52">
        <v>0</v>
      </c>
      <c r="X55" s="39">
        <v>0</v>
      </c>
      <c r="Y55" s="39">
        <v>0</v>
      </c>
      <c r="Z55" s="52">
        <v>0</v>
      </c>
      <c r="AA55" s="39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2"/>
    </row>
    <row r="56" spans="2:36">
      <c r="B56" s="2"/>
      <c r="C56" s="37" t="s">
        <v>166</v>
      </c>
      <c r="D56" s="38"/>
      <c r="E56" s="34" t="s">
        <v>103</v>
      </c>
      <c r="F56" s="51">
        <v>0</v>
      </c>
      <c r="G56" s="51">
        <v>0</v>
      </c>
      <c r="H56" s="34" t="s">
        <v>103</v>
      </c>
      <c r="I56" s="34" t="s">
        <v>103</v>
      </c>
      <c r="J56" s="51">
        <v>0</v>
      </c>
      <c r="K56" s="51">
        <v>0</v>
      </c>
      <c r="L56" s="51">
        <v>0</v>
      </c>
      <c r="M56" s="51">
        <v>0</v>
      </c>
      <c r="N56" s="53"/>
      <c r="O56" s="53"/>
      <c r="P56" s="39">
        <v>0</v>
      </c>
      <c r="Q56" s="51">
        <v>0</v>
      </c>
      <c r="R56" s="51">
        <v>0</v>
      </c>
      <c r="S56" s="51">
        <v>0</v>
      </c>
      <c r="T56" s="51">
        <v>0</v>
      </c>
      <c r="U56" s="39">
        <v>0</v>
      </c>
      <c r="V56" s="51">
        <v>0</v>
      </c>
      <c r="W56" s="52">
        <v>0</v>
      </c>
      <c r="X56" s="39">
        <v>0</v>
      </c>
      <c r="Y56" s="39">
        <v>0</v>
      </c>
      <c r="Z56" s="52">
        <v>0</v>
      </c>
      <c r="AA56" s="39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2"/>
    </row>
    <row r="57" spans="2:36">
      <c r="B57" s="2"/>
      <c r="C57" s="37" t="s">
        <v>167</v>
      </c>
      <c r="D57" s="38"/>
      <c r="E57" s="34" t="s">
        <v>103</v>
      </c>
      <c r="F57" s="51">
        <v>0</v>
      </c>
      <c r="G57" s="51">
        <v>0</v>
      </c>
      <c r="H57" s="34" t="s">
        <v>103</v>
      </c>
      <c r="I57" s="34" t="s">
        <v>103</v>
      </c>
      <c r="J57" s="51">
        <v>0</v>
      </c>
      <c r="K57" s="51">
        <v>0</v>
      </c>
      <c r="L57" s="51">
        <v>0</v>
      </c>
      <c r="M57" s="51">
        <v>0</v>
      </c>
      <c r="N57" s="53"/>
      <c r="O57" s="53"/>
      <c r="P57" s="39">
        <v>0</v>
      </c>
      <c r="Q57" s="51">
        <v>0</v>
      </c>
      <c r="R57" s="51">
        <v>0</v>
      </c>
      <c r="S57" s="51">
        <v>0</v>
      </c>
      <c r="T57" s="51">
        <v>0</v>
      </c>
      <c r="U57" s="39">
        <v>0</v>
      </c>
      <c r="V57" s="51">
        <v>0</v>
      </c>
      <c r="W57" s="52">
        <v>0</v>
      </c>
      <c r="X57" s="39">
        <v>0</v>
      </c>
      <c r="Y57" s="39">
        <v>0</v>
      </c>
      <c r="Z57" s="52">
        <v>0</v>
      </c>
      <c r="AA57" s="39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2"/>
    </row>
    <row r="58" spans="2:36">
      <c r="B58" s="2"/>
      <c r="C58" s="37" t="s">
        <v>168</v>
      </c>
      <c r="D58" s="38"/>
      <c r="E58" s="34" t="s">
        <v>103</v>
      </c>
      <c r="F58" s="51">
        <v>0</v>
      </c>
      <c r="G58" s="51">
        <v>0</v>
      </c>
      <c r="H58" s="34" t="s">
        <v>103</v>
      </c>
      <c r="I58" s="34" t="s">
        <v>103</v>
      </c>
      <c r="J58" s="51">
        <v>0</v>
      </c>
      <c r="K58" s="51">
        <v>0</v>
      </c>
      <c r="L58" s="51">
        <v>0</v>
      </c>
      <c r="M58" s="51">
        <v>0</v>
      </c>
      <c r="N58" s="53"/>
      <c r="O58" s="53"/>
      <c r="P58" s="39">
        <v>0</v>
      </c>
      <c r="Q58" s="51">
        <v>0</v>
      </c>
      <c r="R58" s="51">
        <v>0</v>
      </c>
      <c r="S58" s="51">
        <v>0</v>
      </c>
      <c r="T58" s="51">
        <v>0</v>
      </c>
      <c r="U58" s="39">
        <v>0</v>
      </c>
      <c r="V58" s="51">
        <v>0</v>
      </c>
      <c r="W58" s="52">
        <v>0</v>
      </c>
      <c r="X58" s="39">
        <v>0</v>
      </c>
      <c r="Y58" s="39">
        <v>0</v>
      </c>
      <c r="Z58" s="52">
        <v>0</v>
      </c>
      <c r="AA58" s="39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2"/>
    </row>
    <row r="59" spans="2:36">
      <c r="B59" s="2"/>
      <c r="C59" s="37" t="s">
        <v>169</v>
      </c>
      <c r="D59" s="38"/>
      <c r="E59" s="34" t="s">
        <v>103</v>
      </c>
      <c r="F59" s="51">
        <v>0</v>
      </c>
      <c r="G59" s="51">
        <v>0</v>
      </c>
      <c r="H59" s="34" t="s">
        <v>103</v>
      </c>
      <c r="I59" s="34" t="s">
        <v>103</v>
      </c>
      <c r="J59" s="51">
        <v>0</v>
      </c>
      <c r="K59" s="51">
        <v>0</v>
      </c>
      <c r="L59" s="51">
        <v>0</v>
      </c>
      <c r="M59" s="51">
        <v>0</v>
      </c>
      <c r="N59" s="53"/>
      <c r="O59" s="53"/>
      <c r="P59" s="39">
        <v>0</v>
      </c>
      <c r="Q59" s="51">
        <v>0</v>
      </c>
      <c r="R59" s="51">
        <v>0</v>
      </c>
      <c r="S59" s="51">
        <v>0</v>
      </c>
      <c r="T59" s="51">
        <v>0</v>
      </c>
      <c r="U59" s="39">
        <v>0</v>
      </c>
      <c r="V59" s="51">
        <v>0</v>
      </c>
      <c r="W59" s="52">
        <v>0</v>
      </c>
      <c r="X59" s="39">
        <v>0</v>
      </c>
      <c r="Y59" s="39">
        <v>0</v>
      </c>
      <c r="Z59" s="52">
        <v>0</v>
      </c>
      <c r="AA59" s="39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2"/>
    </row>
    <row r="60" spans="2:36">
      <c r="B60" s="2"/>
      <c r="C60" s="37" t="s">
        <v>170</v>
      </c>
      <c r="D60" s="38"/>
      <c r="E60" s="34" t="s">
        <v>103</v>
      </c>
      <c r="F60" s="51">
        <v>0</v>
      </c>
      <c r="G60" s="51">
        <v>0</v>
      </c>
      <c r="H60" s="34" t="s">
        <v>103</v>
      </c>
      <c r="I60" s="34" t="s">
        <v>103</v>
      </c>
      <c r="J60" s="51">
        <v>0</v>
      </c>
      <c r="K60" s="51">
        <v>0</v>
      </c>
      <c r="L60" s="51">
        <v>0</v>
      </c>
      <c r="M60" s="51">
        <v>0</v>
      </c>
      <c r="N60" s="53"/>
      <c r="O60" s="53"/>
      <c r="P60" s="39">
        <v>0</v>
      </c>
      <c r="Q60" s="51">
        <v>0</v>
      </c>
      <c r="R60" s="51">
        <v>0</v>
      </c>
      <c r="S60" s="51">
        <v>0</v>
      </c>
      <c r="T60" s="51">
        <v>0</v>
      </c>
      <c r="U60" s="39">
        <v>0</v>
      </c>
      <c r="V60" s="51">
        <v>0</v>
      </c>
      <c r="W60" s="52">
        <v>0</v>
      </c>
      <c r="X60" s="39">
        <v>0</v>
      </c>
      <c r="Y60" s="39">
        <v>0</v>
      </c>
      <c r="Z60" s="52">
        <v>0</v>
      </c>
      <c r="AA60" s="39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2"/>
    </row>
    <row r="61" spans="2:36">
      <c r="B61" s="2"/>
      <c r="C61" s="37" t="s">
        <v>171</v>
      </c>
      <c r="D61" s="38"/>
      <c r="E61" s="34" t="s">
        <v>103</v>
      </c>
      <c r="F61" s="51">
        <v>0</v>
      </c>
      <c r="G61" s="51">
        <v>0</v>
      </c>
      <c r="H61" s="34" t="s">
        <v>103</v>
      </c>
      <c r="I61" s="34" t="s">
        <v>103</v>
      </c>
      <c r="J61" s="51">
        <v>0</v>
      </c>
      <c r="K61" s="51">
        <v>0</v>
      </c>
      <c r="L61" s="51">
        <v>0</v>
      </c>
      <c r="M61" s="51">
        <v>0</v>
      </c>
      <c r="N61" s="53"/>
      <c r="O61" s="53"/>
      <c r="P61" s="39">
        <v>0</v>
      </c>
      <c r="Q61" s="51">
        <v>0</v>
      </c>
      <c r="R61" s="51">
        <v>0</v>
      </c>
      <c r="S61" s="51">
        <v>0</v>
      </c>
      <c r="T61" s="51">
        <v>0</v>
      </c>
      <c r="U61" s="39">
        <v>0</v>
      </c>
      <c r="V61" s="51">
        <v>0</v>
      </c>
      <c r="W61" s="52">
        <v>0</v>
      </c>
      <c r="X61" s="39">
        <v>0</v>
      </c>
      <c r="Y61" s="39">
        <v>0</v>
      </c>
      <c r="Z61" s="52">
        <v>0</v>
      </c>
      <c r="AA61" s="39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2"/>
    </row>
    <row r="62" spans="2:36">
      <c r="B62" s="2"/>
      <c r="C62" s="37" t="s">
        <v>172</v>
      </c>
      <c r="D62" s="38"/>
      <c r="E62" s="34" t="s">
        <v>103</v>
      </c>
      <c r="F62" s="51">
        <v>0</v>
      </c>
      <c r="G62" s="51">
        <v>0</v>
      </c>
      <c r="H62" s="34" t="s">
        <v>103</v>
      </c>
      <c r="I62" s="34" t="s">
        <v>103</v>
      </c>
      <c r="J62" s="51">
        <v>0</v>
      </c>
      <c r="K62" s="51">
        <v>0</v>
      </c>
      <c r="L62" s="51">
        <v>0</v>
      </c>
      <c r="M62" s="51">
        <v>0</v>
      </c>
      <c r="N62" s="53"/>
      <c r="O62" s="53"/>
      <c r="P62" s="39">
        <v>0</v>
      </c>
      <c r="Q62" s="51">
        <v>0</v>
      </c>
      <c r="R62" s="51">
        <v>0</v>
      </c>
      <c r="S62" s="51">
        <v>0</v>
      </c>
      <c r="T62" s="51">
        <v>0</v>
      </c>
      <c r="U62" s="39">
        <v>0</v>
      </c>
      <c r="V62" s="51">
        <v>0</v>
      </c>
      <c r="W62" s="52">
        <v>0</v>
      </c>
      <c r="X62" s="39">
        <v>0</v>
      </c>
      <c r="Y62" s="39">
        <v>0</v>
      </c>
      <c r="Z62" s="52">
        <v>0</v>
      </c>
      <c r="AA62" s="39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2"/>
    </row>
    <row r="63" spans="2:36">
      <c r="B63" s="2"/>
      <c r="C63" s="37" t="s">
        <v>173</v>
      </c>
      <c r="D63" s="38"/>
      <c r="E63" s="34" t="s">
        <v>103</v>
      </c>
      <c r="F63" s="51">
        <v>0</v>
      </c>
      <c r="G63" s="51">
        <v>0</v>
      </c>
      <c r="H63" s="34" t="s">
        <v>103</v>
      </c>
      <c r="I63" s="34" t="s">
        <v>103</v>
      </c>
      <c r="J63" s="51">
        <v>0</v>
      </c>
      <c r="K63" s="51">
        <v>0</v>
      </c>
      <c r="L63" s="51">
        <v>0</v>
      </c>
      <c r="M63" s="51">
        <v>0</v>
      </c>
      <c r="N63" s="53"/>
      <c r="O63" s="53"/>
      <c r="P63" s="39">
        <v>0</v>
      </c>
      <c r="Q63" s="51">
        <v>0</v>
      </c>
      <c r="R63" s="51">
        <v>0</v>
      </c>
      <c r="S63" s="51">
        <v>0</v>
      </c>
      <c r="T63" s="51">
        <v>0</v>
      </c>
      <c r="U63" s="39">
        <v>0</v>
      </c>
      <c r="V63" s="51">
        <v>0</v>
      </c>
      <c r="W63" s="52">
        <v>0</v>
      </c>
      <c r="X63" s="39">
        <v>0</v>
      </c>
      <c r="Y63" s="39">
        <v>0</v>
      </c>
      <c r="Z63" s="52">
        <v>0</v>
      </c>
      <c r="AA63" s="39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2"/>
    </row>
    <row r="64" spans="2:36">
      <c r="B64" s="2"/>
      <c r="C64" s="37" t="s">
        <v>174</v>
      </c>
      <c r="D64" s="38"/>
      <c r="E64" s="34" t="s">
        <v>103</v>
      </c>
      <c r="F64" s="51">
        <v>0</v>
      </c>
      <c r="G64" s="51">
        <v>0</v>
      </c>
      <c r="H64" s="34" t="s">
        <v>103</v>
      </c>
      <c r="I64" s="34" t="s">
        <v>103</v>
      </c>
      <c r="J64" s="51">
        <v>0</v>
      </c>
      <c r="K64" s="51">
        <v>0</v>
      </c>
      <c r="L64" s="51">
        <v>0</v>
      </c>
      <c r="M64" s="51">
        <v>0</v>
      </c>
      <c r="N64" s="53"/>
      <c r="O64" s="53"/>
      <c r="P64" s="39">
        <v>0</v>
      </c>
      <c r="Q64" s="51">
        <v>0</v>
      </c>
      <c r="R64" s="51">
        <v>0</v>
      </c>
      <c r="S64" s="51">
        <v>0</v>
      </c>
      <c r="T64" s="51">
        <v>0</v>
      </c>
      <c r="U64" s="39">
        <v>0</v>
      </c>
      <c r="V64" s="51">
        <v>0</v>
      </c>
      <c r="W64" s="52">
        <v>0</v>
      </c>
      <c r="X64" s="39">
        <v>0</v>
      </c>
      <c r="Y64" s="39">
        <v>0</v>
      </c>
      <c r="Z64" s="52">
        <v>0</v>
      </c>
      <c r="AA64" s="39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2"/>
    </row>
    <row r="65" spans="2:36">
      <c r="B65" s="2"/>
      <c r="C65" s="37" t="s">
        <v>175</v>
      </c>
      <c r="D65" s="38"/>
      <c r="E65" s="34" t="s">
        <v>103</v>
      </c>
      <c r="F65" s="51">
        <v>0</v>
      </c>
      <c r="G65" s="51">
        <v>0</v>
      </c>
      <c r="H65" s="34" t="s">
        <v>103</v>
      </c>
      <c r="I65" s="34" t="s">
        <v>103</v>
      </c>
      <c r="J65" s="51">
        <v>0</v>
      </c>
      <c r="K65" s="51">
        <v>0</v>
      </c>
      <c r="L65" s="51">
        <v>0</v>
      </c>
      <c r="M65" s="51">
        <v>0</v>
      </c>
      <c r="N65" s="53"/>
      <c r="O65" s="53"/>
      <c r="P65" s="39">
        <v>0</v>
      </c>
      <c r="Q65" s="51">
        <v>0</v>
      </c>
      <c r="R65" s="51">
        <v>0</v>
      </c>
      <c r="S65" s="51">
        <v>0</v>
      </c>
      <c r="T65" s="51">
        <v>0</v>
      </c>
      <c r="U65" s="39">
        <v>0</v>
      </c>
      <c r="V65" s="51">
        <v>0</v>
      </c>
      <c r="W65" s="52">
        <v>0</v>
      </c>
      <c r="X65" s="39">
        <v>0</v>
      </c>
      <c r="Y65" s="39">
        <v>0</v>
      </c>
      <c r="Z65" s="52">
        <v>0</v>
      </c>
      <c r="AA65" s="39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2"/>
    </row>
    <row r="66" spans="2:36">
      <c r="B66" s="2"/>
      <c r="C66" s="37" t="s">
        <v>176</v>
      </c>
      <c r="D66" s="38"/>
      <c r="E66" s="34" t="s">
        <v>103</v>
      </c>
      <c r="F66" s="51">
        <v>0</v>
      </c>
      <c r="G66" s="51">
        <v>0</v>
      </c>
      <c r="H66" s="34" t="s">
        <v>103</v>
      </c>
      <c r="I66" s="34" t="s">
        <v>103</v>
      </c>
      <c r="J66" s="51">
        <v>0</v>
      </c>
      <c r="K66" s="51">
        <v>0</v>
      </c>
      <c r="L66" s="51">
        <v>0</v>
      </c>
      <c r="M66" s="51">
        <v>0</v>
      </c>
      <c r="N66" s="53"/>
      <c r="O66" s="53"/>
      <c r="P66" s="39">
        <v>0</v>
      </c>
      <c r="Q66" s="51">
        <v>0</v>
      </c>
      <c r="R66" s="51">
        <v>0</v>
      </c>
      <c r="S66" s="51">
        <v>0</v>
      </c>
      <c r="T66" s="51">
        <v>0</v>
      </c>
      <c r="U66" s="39">
        <v>0</v>
      </c>
      <c r="V66" s="51">
        <v>0</v>
      </c>
      <c r="W66" s="52">
        <v>0</v>
      </c>
      <c r="X66" s="39">
        <v>0</v>
      </c>
      <c r="Y66" s="39">
        <v>0</v>
      </c>
      <c r="Z66" s="52">
        <v>0</v>
      </c>
      <c r="AA66" s="39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2"/>
    </row>
    <row r="67" spans="2:36">
      <c r="B67" s="2"/>
      <c r="C67" s="37" t="s">
        <v>177</v>
      </c>
      <c r="D67" s="38"/>
      <c r="E67" s="34" t="s">
        <v>103</v>
      </c>
      <c r="F67" s="51">
        <v>0</v>
      </c>
      <c r="G67" s="51">
        <v>0</v>
      </c>
      <c r="H67" s="34" t="s">
        <v>103</v>
      </c>
      <c r="I67" s="34" t="s">
        <v>103</v>
      </c>
      <c r="J67" s="51">
        <v>0</v>
      </c>
      <c r="K67" s="51">
        <v>0</v>
      </c>
      <c r="L67" s="51">
        <v>0</v>
      </c>
      <c r="M67" s="51">
        <v>0</v>
      </c>
      <c r="N67" s="53"/>
      <c r="O67" s="53"/>
      <c r="P67" s="39">
        <v>0</v>
      </c>
      <c r="Q67" s="51">
        <v>0</v>
      </c>
      <c r="R67" s="51">
        <v>0</v>
      </c>
      <c r="S67" s="51">
        <v>0</v>
      </c>
      <c r="T67" s="51">
        <v>0</v>
      </c>
      <c r="U67" s="39">
        <v>0</v>
      </c>
      <c r="V67" s="51">
        <v>0</v>
      </c>
      <c r="W67" s="52">
        <v>0</v>
      </c>
      <c r="X67" s="39">
        <v>0</v>
      </c>
      <c r="Y67" s="39">
        <v>0</v>
      </c>
      <c r="Z67" s="52">
        <v>0</v>
      </c>
      <c r="AA67" s="39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2"/>
    </row>
    <row r="68" spans="2:36">
      <c r="B68" s="2"/>
      <c r="C68" s="37" t="s">
        <v>178</v>
      </c>
      <c r="D68" s="38"/>
      <c r="E68" s="34" t="s">
        <v>103</v>
      </c>
      <c r="F68" s="51">
        <v>0</v>
      </c>
      <c r="G68" s="51">
        <v>0</v>
      </c>
      <c r="H68" s="34" t="s">
        <v>103</v>
      </c>
      <c r="I68" s="34" t="s">
        <v>103</v>
      </c>
      <c r="J68" s="51">
        <v>0</v>
      </c>
      <c r="K68" s="51">
        <v>0</v>
      </c>
      <c r="L68" s="51">
        <v>0</v>
      </c>
      <c r="M68" s="51">
        <v>0</v>
      </c>
      <c r="N68" s="53"/>
      <c r="O68" s="53"/>
      <c r="P68" s="39">
        <v>0</v>
      </c>
      <c r="Q68" s="51">
        <v>0</v>
      </c>
      <c r="R68" s="51">
        <v>0</v>
      </c>
      <c r="S68" s="51">
        <v>0</v>
      </c>
      <c r="T68" s="51">
        <v>0</v>
      </c>
      <c r="U68" s="39">
        <v>0</v>
      </c>
      <c r="V68" s="51">
        <v>0</v>
      </c>
      <c r="W68" s="52">
        <v>0</v>
      </c>
      <c r="X68" s="39">
        <v>0</v>
      </c>
      <c r="Y68" s="39">
        <v>0</v>
      </c>
      <c r="Z68" s="52">
        <v>0</v>
      </c>
      <c r="AA68" s="39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2"/>
    </row>
    <row r="69" spans="2:36">
      <c r="B69" s="2"/>
      <c r="C69" s="37" t="s">
        <v>179</v>
      </c>
      <c r="D69" s="38"/>
      <c r="E69" s="34" t="s">
        <v>103</v>
      </c>
      <c r="F69" s="51">
        <v>0</v>
      </c>
      <c r="G69" s="51">
        <v>0</v>
      </c>
      <c r="H69" s="34" t="s">
        <v>103</v>
      </c>
      <c r="I69" s="34" t="s">
        <v>103</v>
      </c>
      <c r="J69" s="51">
        <v>0</v>
      </c>
      <c r="K69" s="51">
        <v>0</v>
      </c>
      <c r="L69" s="51">
        <v>0</v>
      </c>
      <c r="M69" s="51">
        <v>0</v>
      </c>
      <c r="N69" s="53"/>
      <c r="O69" s="53"/>
      <c r="P69" s="39">
        <v>0</v>
      </c>
      <c r="Q69" s="51">
        <v>0</v>
      </c>
      <c r="R69" s="51">
        <v>0</v>
      </c>
      <c r="S69" s="51">
        <v>0</v>
      </c>
      <c r="T69" s="51">
        <v>0</v>
      </c>
      <c r="U69" s="39">
        <v>0</v>
      </c>
      <c r="V69" s="51">
        <v>0</v>
      </c>
      <c r="W69" s="52">
        <v>0</v>
      </c>
      <c r="X69" s="39">
        <v>0</v>
      </c>
      <c r="Y69" s="39">
        <v>0</v>
      </c>
      <c r="Z69" s="52">
        <v>0</v>
      </c>
      <c r="AA69" s="39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2"/>
    </row>
    <row r="70" spans="2:36">
      <c r="B70" s="2"/>
      <c r="C70" s="37" t="s">
        <v>180</v>
      </c>
      <c r="D70" s="38"/>
      <c r="E70" s="34" t="s">
        <v>103</v>
      </c>
      <c r="F70" s="51">
        <v>0</v>
      </c>
      <c r="G70" s="51">
        <v>0</v>
      </c>
      <c r="H70" s="34" t="s">
        <v>103</v>
      </c>
      <c r="I70" s="34" t="s">
        <v>103</v>
      </c>
      <c r="J70" s="51">
        <v>0</v>
      </c>
      <c r="K70" s="51">
        <v>0</v>
      </c>
      <c r="L70" s="51">
        <v>0</v>
      </c>
      <c r="M70" s="51">
        <v>0</v>
      </c>
      <c r="N70" s="53"/>
      <c r="O70" s="53"/>
      <c r="P70" s="39">
        <v>0</v>
      </c>
      <c r="Q70" s="51">
        <v>0</v>
      </c>
      <c r="R70" s="51">
        <v>0</v>
      </c>
      <c r="S70" s="51">
        <v>0</v>
      </c>
      <c r="T70" s="51">
        <v>0</v>
      </c>
      <c r="U70" s="39">
        <v>0</v>
      </c>
      <c r="V70" s="51">
        <v>0</v>
      </c>
      <c r="W70" s="52">
        <v>0</v>
      </c>
      <c r="X70" s="39">
        <v>0</v>
      </c>
      <c r="Y70" s="39">
        <v>0</v>
      </c>
      <c r="Z70" s="52">
        <v>0</v>
      </c>
      <c r="AA70" s="39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2"/>
    </row>
    <row r="71" spans="2:36">
      <c r="B71" s="2"/>
      <c r="C71" s="37" t="s">
        <v>181</v>
      </c>
      <c r="D71" s="38"/>
      <c r="E71" s="34" t="s">
        <v>103</v>
      </c>
      <c r="F71" s="51">
        <v>0</v>
      </c>
      <c r="G71" s="51">
        <v>0</v>
      </c>
      <c r="H71" s="34" t="s">
        <v>103</v>
      </c>
      <c r="I71" s="34" t="s">
        <v>103</v>
      </c>
      <c r="J71" s="51">
        <v>0</v>
      </c>
      <c r="K71" s="51">
        <v>0</v>
      </c>
      <c r="L71" s="51">
        <v>0</v>
      </c>
      <c r="M71" s="51">
        <v>0</v>
      </c>
      <c r="N71" s="53"/>
      <c r="O71" s="53"/>
      <c r="P71" s="39">
        <v>0</v>
      </c>
      <c r="Q71" s="51">
        <v>0</v>
      </c>
      <c r="R71" s="51">
        <v>0</v>
      </c>
      <c r="S71" s="51">
        <v>0</v>
      </c>
      <c r="T71" s="51">
        <v>0</v>
      </c>
      <c r="U71" s="39">
        <v>0</v>
      </c>
      <c r="V71" s="51">
        <v>0</v>
      </c>
      <c r="W71" s="52">
        <v>0</v>
      </c>
      <c r="X71" s="39">
        <v>0</v>
      </c>
      <c r="Y71" s="39">
        <v>0</v>
      </c>
      <c r="Z71" s="52">
        <v>0</v>
      </c>
      <c r="AA71" s="39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2"/>
    </row>
    <row r="72" spans="2:36">
      <c r="B72" s="2"/>
      <c r="C72" s="37" t="s">
        <v>182</v>
      </c>
      <c r="D72" s="38"/>
      <c r="E72" s="34" t="s">
        <v>103</v>
      </c>
      <c r="F72" s="51">
        <v>0</v>
      </c>
      <c r="G72" s="51">
        <v>0</v>
      </c>
      <c r="H72" s="34" t="s">
        <v>103</v>
      </c>
      <c r="I72" s="34" t="s">
        <v>103</v>
      </c>
      <c r="J72" s="51">
        <v>0</v>
      </c>
      <c r="K72" s="51">
        <v>0</v>
      </c>
      <c r="L72" s="51">
        <v>0</v>
      </c>
      <c r="M72" s="51">
        <v>0</v>
      </c>
      <c r="N72" s="53"/>
      <c r="O72" s="53"/>
      <c r="P72" s="39">
        <v>0</v>
      </c>
      <c r="Q72" s="51">
        <v>0</v>
      </c>
      <c r="R72" s="51">
        <v>0</v>
      </c>
      <c r="S72" s="51">
        <v>0</v>
      </c>
      <c r="T72" s="51">
        <v>0</v>
      </c>
      <c r="U72" s="39">
        <v>0</v>
      </c>
      <c r="V72" s="51">
        <v>0</v>
      </c>
      <c r="W72" s="52">
        <v>0</v>
      </c>
      <c r="X72" s="39">
        <v>0</v>
      </c>
      <c r="Y72" s="39">
        <v>0</v>
      </c>
      <c r="Z72" s="52">
        <v>0</v>
      </c>
      <c r="AA72" s="39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2"/>
    </row>
    <row r="73" spans="2:36">
      <c r="B73" s="2"/>
      <c r="C73" s="37" t="s">
        <v>183</v>
      </c>
      <c r="D73" s="38"/>
      <c r="E73" s="34" t="s">
        <v>103</v>
      </c>
      <c r="F73" s="51">
        <v>0</v>
      </c>
      <c r="G73" s="51">
        <v>0</v>
      </c>
      <c r="H73" s="34" t="s">
        <v>103</v>
      </c>
      <c r="I73" s="34" t="s">
        <v>103</v>
      </c>
      <c r="J73" s="51">
        <v>0</v>
      </c>
      <c r="K73" s="51">
        <v>0</v>
      </c>
      <c r="L73" s="51">
        <v>0</v>
      </c>
      <c r="M73" s="51">
        <v>0</v>
      </c>
      <c r="N73" s="53"/>
      <c r="O73" s="53"/>
      <c r="P73" s="39">
        <v>0</v>
      </c>
      <c r="Q73" s="51">
        <v>0</v>
      </c>
      <c r="R73" s="51">
        <v>0</v>
      </c>
      <c r="S73" s="51">
        <v>0</v>
      </c>
      <c r="T73" s="51">
        <v>0</v>
      </c>
      <c r="U73" s="39">
        <v>0</v>
      </c>
      <c r="V73" s="51">
        <v>0</v>
      </c>
      <c r="W73" s="52">
        <v>0</v>
      </c>
      <c r="X73" s="39">
        <v>0</v>
      </c>
      <c r="Y73" s="39">
        <v>0</v>
      </c>
      <c r="Z73" s="52">
        <v>0</v>
      </c>
      <c r="AA73" s="39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2"/>
    </row>
    <row r="74" spans="2:36">
      <c r="B74" s="2"/>
      <c r="C74" s="37" t="s">
        <v>184</v>
      </c>
      <c r="D74" s="38"/>
      <c r="E74" s="34" t="s">
        <v>103</v>
      </c>
      <c r="F74" s="51">
        <v>0</v>
      </c>
      <c r="G74" s="51">
        <v>0</v>
      </c>
      <c r="H74" s="34" t="s">
        <v>103</v>
      </c>
      <c r="I74" s="34" t="s">
        <v>103</v>
      </c>
      <c r="J74" s="51">
        <v>0</v>
      </c>
      <c r="K74" s="51">
        <v>0</v>
      </c>
      <c r="L74" s="51">
        <v>0</v>
      </c>
      <c r="M74" s="51">
        <v>0</v>
      </c>
      <c r="N74" s="53"/>
      <c r="O74" s="53"/>
      <c r="P74" s="39">
        <v>0</v>
      </c>
      <c r="Q74" s="51">
        <v>0</v>
      </c>
      <c r="R74" s="51">
        <v>0</v>
      </c>
      <c r="S74" s="51">
        <v>0</v>
      </c>
      <c r="T74" s="51">
        <v>0</v>
      </c>
      <c r="U74" s="39">
        <v>0</v>
      </c>
      <c r="V74" s="51">
        <v>0</v>
      </c>
      <c r="W74" s="52">
        <v>0</v>
      </c>
      <c r="X74" s="39">
        <v>0</v>
      </c>
      <c r="Y74" s="39">
        <v>0</v>
      </c>
      <c r="Z74" s="52">
        <v>0</v>
      </c>
      <c r="AA74" s="39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2"/>
    </row>
    <row r="75" spans="2:36">
      <c r="B75" s="2"/>
      <c r="C75" s="37" t="s">
        <v>185</v>
      </c>
      <c r="D75" s="38"/>
      <c r="E75" s="34" t="s">
        <v>103</v>
      </c>
      <c r="F75" s="51">
        <v>0</v>
      </c>
      <c r="G75" s="51">
        <v>0</v>
      </c>
      <c r="H75" s="34" t="s">
        <v>103</v>
      </c>
      <c r="I75" s="34" t="s">
        <v>103</v>
      </c>
      <c r="J75" s="51">
        <v>0</v>
      </c>
      <c r="K75" s="51">
        <v>0</v>
      </c>
      <c r="L75" s="51">
        <v>0</v>
      </c>
      <c r="M75" s="51">
        <v>0</v>
      </c>
      <c r="N75" s="53"/>
      <c r="O75" s="53"/>
      <c r="P75" s="39">
        <v>0</v>
      </c>
      <c r="Q75" s="51">
        <v>0</v>
      </c>
      <c r="R75" s="51">
        <v>0</v>
      </c>
      <c r="S75" s="51">
        <v>0</v>
      </c>
      <c r="T75" s="51">
        <v>0</v>
      </c>
      <c r="U75" s="39">
        <v>0</v>
      </c>
      <c r="V75" s="51">
        <v>0</v>
      </c>
      <c r="W75" s="52">
        <v>0</v>
      </c>
      <c r="X75" s="39">
        <v>0</v>
      </c>
      <c r="Y75" s="39">
        <v>0</v>
      </c>
      <c r="Z75" s="52">
        <v>0</v>
      </c>
      <c r="AA75" s="39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2"/>
    </row>
    <row r="76" spans="2:36">
      <c r="B76" s="2"/>
      <c r="C76" s="37" t="s">
        <v>186</v>
      </c>
      <c r="D76" s="38"/>
      <c r="E76" s="34" t="s">
        <v>103</v>
      </c>
      <c r="F76" s="51">
        <v>0</v>
      </c>
      <c r="G76" s="51">
        <v>0</v>
      </c>
      <c r="H76" s="34" t="s">
        <v>103</v>
      </c>
      <c r="I76" s="34" t="s">
        <v>103</v>
      </c>
      <c r="J76" s="51">
        <v>0</v>
      </c>
      <c r="K76" s="51">
        <v>0</v>
      </c>
      <c r="L76" s="51">
        <v>0</v>
      </c>
      <c r="M76" s="51">
        <v>0</v>
      </c>
      <c r="N76" s="53"/>
      <c r="O76" s="53"/>
      <c r="P76" s="39">
        <v>0</v>
      </c>
      <c r="Q76" s="51">
        <v>0</v>
      </c>
      <c r="R76" s="51">
        <v>0</v>
      </c>
      <c r="S76" s="51">
        <v>0</v>
      </c>
      <c r="T76" s="51">
        <v>0</v>
      </c>
      <c r="U76" s="39">
        <v>0</v>
      </c>
      <c r="V76" s="51">
        <v>0</v>
      </c>
      <c r="W76" s="52">
        <v>0</v>
      </c>
      <c r="X76" s="39">
        <v>0</v>
      </c>
      <c r="Y76" s="39">
        <v>0</v>
      </c>
      <c r="Z76" s="52">
        <v>0</v>
      </c>
      <c r="AA76" s="39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2"/>
    </row>
    <row r="77" spans="2:36">
      <c r="B77" s="2"/>
      <c r="C77" s="37" t="s">
        <v>187</v>
      </c>
      <c r="D77" s="38"/>
      <c r="E77" s="34" t="s">
        <v>103</v>
      </c>
      <c r="F77" s="51">
        <v>0</v>
      </c>
      <c r="G77" s="51">
        <v>0</v>
      </c>
      <c r="H77" s="34" t="s">
        <v>103</v>
      </c>
      <c r="I77" s="34" t="s">
        <v>103</v>
      </c>
      <c r="J77" s="51">
        <v>0</v>
      </c>
      <c r="K77" s="51">
        <v>0</v>
      </c>
      <c r="L77" s="51">
        <v>0</v>
      </c>
      <c r="M77" s="51">
        <v>0</v>
      </c>
      <c r="N77" s="53"/>
      <c r="O77" s="53"/>
      <c r="P77" s="39">
        <v>0</v>
      </c>
      <c r="Q77" s="51">
        <v>0</v>
      </c>
      <c r="R77" s="51">
        <v>0</v>
      </c>
      <c r="S77" s="51">
        <v>0</v>
      </c>
      <c r="T77" s="51">
        <v>0</v>
      </c>
      <c r="U77" s="39">
        <v>0</v>
      </c>
      <c r="V77" s="51">
        <v>0</v>
      </c>
      <c r="W77" s="52">
        <v>0</v>
      </c>
      <c r="X77" s="39">
        <v>0</v>
      </c>
      <c r="Y77" s="39">
        <v>0</v>
      </c>
      <c r="Z77" s="52">
        <v>0</v>
      </c>
      <c r="AA77" s="39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2"/>
    </row>
    <row r="78" spans="2:36">
      <c r="B78" s="2"/>
      <c r="C78" s="37" t="s">
        <v>188</v>
      </c>
      <c r="D78" s="38"/>
      <c r="E78" s="34" t="s">
        <v>103</v>
      </c>
      <c r="F78" s="51">
        <v>0</v>
      </c>
      <c r="G78" s="51">
        <v>0</v>
      </c>
      <c r="H78" s="34" t="s">
        <v>103</v>
      </c>
      <c r="I78" s="34" t="s">
        <v>103</v>
      </c>
      <c r="J78" s="51">
        <v>0</v>
      </c>
      <c r="K78" s="51">
        <v>0</v>
      </c>
      <c r="L78" s="51">
        <v>0</v>
      </c>
      <c r="M78" s="51">
        <v>0</v>
      </c>
      <c r="N78" s="53"/>
      <c r="O78" s="53"/>
      <c r="P78" s="39">
        <v>0</v>
      </c>
      <c r="Q78" s="51">
        <v>0</v>
      </c>
      <c r="R78" s="51">
        <v>0</v>
      </c>
      <c r="S78" s="51">
        <v>0</v>
      </c>
      <c r="T78" s="51">
        <v>0</v>
      </c>
      <c r="U78" s="39">
        <v>0</v>
      </c>
      <c r="V78" s="51">
        <v>0</v>
      </c>
      <c r="W78" s="52">
        <v>0</v>
      </c>
      <c r="X78" s="39">
        <v>0</v>
      </c>
      <c r="Y78" s="39">
        <v>0</v>
      </c>
      <c r="Z78" s="52">
        <v>0</v>
      </c>
      <c r="AA78" s="39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2"/>
    </row>
    <row r="79" spans="2:36">
      <c r="B79" s="2"/>
      <c r="C79" s="37" t="s">
        <v>189</v>
      </c>
      <c r="D79" s="38"/>
      <c r="E79" s="34" t="s">
        <v>103</v>
      </c>
      <c r="F79" s="51">
        <v>0</v>
      </c>
      <c r="G79" s="51">
        <v>0</v>
      </c>
      <c r="H79" s="34" t="s">
        <v>103</v>
      </c>
      <c r="I79" s="34" t="s">
        <v>103</v>
      </c>
      <c r="J79" s="51">
        <v>0</v>
      </c>
      <c r="K79" s="51">
        <v>0</v>
      </c>
      <c r="L79" s="51">
        <v>0</v>
      </c>
      <c r="M79" s="51">
        <v>0</v>
      </c>
      <c r="N79" s="53"/>
      <c r="O79" s="53"/>
      <c r="P79" s="39">
        <v>0</v>
      </c>
      <c r="Q79" s="51">
        <v>0</v>
      </c>
      <c r="R79" s="51">
        <v>0</v>
      </c>
      <c r="S79" s="51">
        <v>0</v>
      </c>
      <c r="T79" s="51">
        <v>0</v>
      </c>
      <c r="U79" s="39">
        <v>0</v>
      </c>
      <c r="V79" s="51">
        <v>0</v>
      </c>
      <c r="W79" s="52">
        <v>0</v>
      </c>
      <c r="X79" s="39">
        <v>0</v>
      </c>
      <c r="Y79" s="39">
        <v>0</v>
      </c>
      <c r="Z79" s="52">
        <v>0</v>
      </c>
      <c r="AA79" s="39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2"/>
    </row>
    <row r="80" spans="2:36">
      <c r="B80" s="2"/>
      <c r="C80" s="37" t="s">
        <v>190</v>
      </c>
      <c r="D80" s="38"/>
      <c r="E80" s="34" t="s">
        <v>103</v>
      </c>
      <c r="F80" s="51">
        <v>0</v>
      </c>
      <c r="G80" s="51">
        <v>0</v>
      </c>
      <c r="H80" s="34" t="s">
        <v>103</v>
      </c>
      <c r="I80" s="34" t="s">
        <v>103</v>
      </c>
      <c r="J80" s="51">
        <v>0</v>
      </c>
      <c r="K80" s="51">
        <v>0</v>
      </c>
      <c r="L80" s="51">
        <v>0</v>
      </c>
      <c r="M80" s="51">
        <v>0</v>
      </c>
      <c r="N80" s="53"/>
      <c r="O80" s="53"/>
      <c r="P80" s="39">
        <v>0</v>
      </c>
      <c r="Q80" s="51">
        <v>0</v>
      </c>
      <c r="R80" s="51">
        <v>0</v>
      </c>
      <c r="S80" s="51">
        <v>0</v>
      </c>
      <c r="T80" s="51">
        <v>0</v>
      </c>
      <c r="U80" s="39">
        <v>0</v>
      </c>
      <c r="V80" s="51">
        <v>0</v>
      </c>
      <c r="W80" s="52">
        <v>0</v>
      </c>
      <c r="X80" s="39">
        <v>0</v>
      </c>
      <c r="Y80" s="39">
        <v>0</v>
      </c>
      <c r="Z80" s="52">
        <v>0</v>
      </c>
      <c r="AA80" s="39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2"/>
    </row>
    <row r="81" spans="2:36">
      <c r="B81" s="2"/>
      <c r="C81" s="37" t="s">
        <v>191</v>
      </c>
      <c r="D81" s="38"/>
      <c r="E81" s="34" t="s">
        <v>103</v>
      </c>
      <c r="F81" s="51">
        <v>0</v>
      </c>
      <c r="G81" s="51">
        <v>0</v>
      </c>
      <c r="H81" s="34" t="s">
        <v>103</v>
      </c>
      <c r="I81" s="34" t="s">
        <v>103</v>
      </c>
      <c r="J81" s="51">
        <v>0</v>
      </c>
      <c r="K81" s="51">
        <v>0</v>
      </c>
      <c r="L81" s="51">
        <v>0</v>
      </c>
      <c r="M81" s="51">
        <v>0</v>
      </c>
      <c r="N81" s="53"/>
      <c r="O81" s="53"/>
      <c r="P81" s="39">
        <v>0</v>
      </c>
      <c r="Q81" s="51">
        <v>0</v>
      </c>
      <c r="R81" s="51">
        <v>0</v>
      </c>
      <c r="S81" s="51">
        <v>0</v>
      </c>
      <c r="T81" s="51">
        <v>0</v>
      </c>
      <c r="U81" s="39">
        <v>0</v>
      </c>
      <c r="V81" s="51">
        <v>0</v>
      </c>
      <c r="W81" s="52">
        <v>0</v>
      </c>
      <c r="X81" s="39">
        <v>0</v>
      </c>
      <c r="Y81" s="39">
        <v>0</v>
      </c>
      <c r="Z81" s="52">
        <v>0</v>
      </c>
      <c r="AA81" s="39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2"/>
    </row>
    <row r="82" spans="2:36">
      <c r="B82" s="2"/>
      <c r="C82" s="37" t="s">
        <v>192</v>
      </c>
      <c r="D82" s="38"/>
      <c r="E82" s="34" t="s">
        <v>103</v>
      </c>
      <c r="F82" s="51">
        <v>0</v>
      </c>
      <c r="G82" s="51">
        <v>0</v>
      </c>
      <c r="H82" s="34" t="s">
        <v>103</v>
      </c>
      <c r="I82" s="34" t="s">
        <v>103</v>
      </c>
      <c r="J82" s="51">
        <v>0</v>
      </c>
      <c r="K82" s="51">
        <v>0</v>
      </c>
      <c r="L82" s="51">
        <v>0</v>
      </c>
      <c r="M82" s="51">
        <v>0</v>
      </c>
      <c r="N82" s="53"/>
      <c r="O82" s="53"/>
      <c r="P82" s="39">
        <v>0</v>
      </c>
      <c r="Q82" s="51">
        <v>0</v>
      </c>
      <c r="R82" s="51">
        <v>0</v>
      </c>
      <c r="S82" s="51">
        <v>0</v>
      </c>
      <c r="T82" s="51">
        <v>0</v>
      </c>
      <c r="U82" s="39">
        <v>0</v>
      </c>
      <c r="V82" s="51">
        <v>0</v>
      </c>
      <c r="W82" s="52">
        <v>0</v>
      </c>
      <c r="X82" s="39">
        <v>0</v>
      </c>
      <c r="Y82" s="39">
        <v>0</v>
      </c>
      <c r="Z82" s="52">
        <v>0</v>
      </c>
      <c r="AA82" s="39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2"/>
    </row>
    <row r="83" spans="2:36">
      <c r="B83" s="2"/>
      <c r="C83" s="37" t="s">
        <v>193</v>
      </c>
      <c r="D83" s="38"/>
      <c r="E83" s="34" t="s">
        <v>103</v>
      </c>
      <c r="F83" s="51">
        <v>0</v>
      </c>
      <c r="G83" s="51">
        <v>0</v>
      </c>
      <c r="H83" s="34" t="s">
        <v>103</v>
      </c>
      <c r="I83" s="34" t="s">
        <v>103</v>
      </c>
      <c r="J83" s="51">
        <v>0</v>
      </c>
      <c r="K83" s="51">
        <v>0</v>
      </c>
      <c r="L83" s="51">
        <v>0</v>
      </c>
      <c r="M83" s="51">
        <v>0</v>
      </c>
      <c r="N83" s="53"/>
      <c r="O83" s="53"/>
      <c r="P83" s="39">
        <v>0</v>
      </c>
      <c r="Q83" s="51">
        <v>0</v>
      </c>
      <c r="R83" s="51">
        <v>0</v>
      </c>
      <c r="S83" s="51">
        <v>0</v>
      </c>
      <c r="T83" s="51">
        <v>0</v>
      </c>
      <c r="U83" s="39">
        <v>0</v>
      </c>
      <c r="V83" s="51">
        <v>0</v>
      </c>
      <c r="W83" s="52">
        <v>0</v>
      </c>
      <c r="X83" s="39">
        <v>0</v>
      </c>
      <c r="Y83" s="39">
        <v>0</v>
      </c>
      <c r="Z83" s="52">
        <v>0</v>
      </c>
      <c r="AA83" s="39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2"/>
    </row>
    <row r="84" spans="2:36">
      <c r="B84" s="2"/>
      <c r="C84" s="37" t="s">
        <v>194</v>
      </c>
      <c r="D84" s="38"/>
      <c r="E84" s="34" t="s">
        <v>103</v>
      </c>
      <c r="F84" s="51">
        <v>0</v>
      </c>
      <c r="G84" s="51">
        <v>0</v>
      </c>
      <c r="H84" s="34" t="s">
        <v>103</v>
      </c>
      <c r="I84" s="34" t="s">
        <v>103</v>
      </c>
      <c r="J84" s="51">
        <v>0</v>
      </c>
      <c r="K84" s="51">
        <v>0</v>
      </c>
      <c r="L84" s="51">
        <v>0</v>
      </c>
      <c r="M84" s="51">
        <v>0</v>
      </c>
      <c r="N84" s="53"/>
      <c r="O84" s="53"/>
      <c r="P84" s="39">
        <v>0</v>
      </c>
      <c r="Q84" s="51">
        <v>0</v>
      </c>
      <c r="R84" s="51">
        <v>0</v>
      </c>
      <c r="S84" s="51">
        <v>0</v>
      </c>
      <c r="T84" s="51">
        <v>0</v>
      </c>
      <c r="U84" s="39">
        <v>0</v>
      </c>
      <c r="V84" s="51">
        <v>0</v>
      </c>
      <c r="W84" s="52">
        <v>0</v>
      </c>
      <c r="X84" s="39">
        <v>0</v>
      </c>
      <c r="Y84" s="39">
        <v>0</v>
      </c>
      <c r="Z84" s="52">
        <v>0</v>
      </c>
      <c r="AA84" s="39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2"/>
    </row>
    <row r="85" spans="2:36">
      <c r="B85" s="2"/>
      <c r="C85" s="37" t="s">
        <v>195</v>
      </c>
      <c r="D85" s="38"/>
      <c r="E85" s="34" t="s">
        <v>103</v>
      </c>
      <c r="F85" s="51">
        <v>0</v>
      </c>
      <c r="G85" s="51">
        <v>0</v>
      </c>
      <c r="H85" s="34" t="s">
        <v>103</v>
      </c>
      <c r="I85" s="34" t="s">
        <v>103</v>
      </c>
      <c r="J85" s="51">
        <v>0</v>
      </c>
      <c r="K85" s="51">
        <v>0</v>
      </c>
      <c r="L85" s="51">
        <v>0</v>
      </c>
      <c r="M85" s="51">
        <v>0</v>
      </c>
      <c r="N85" s="53"/>
      <c r="O85" s="53"/>
      <c r="P85" s="39">
        <v>0</v>
      </c>
      <c r="Q85" s="51">
        <v>0</v>
      </c>
      <c r="R85" s="51">
        <v>0</v>
      </c>
      <c r="S85" s="51">
        <v>0</v>
      </c>
      <c r="T85" s="51">
        <v>0</v>
      </c>
      <c r="U85" s="39">
        <v>0</v>
      </c>
      <c r="V85" s="51">
        <v>0</v>
      </c>
      <c r="W85" s="52">
        <v>0</v>
      </c>
      <c r="X85" s="39">
        <v>0</v>
      </c>
      <c r="Y85" s="39">
        <v>0</v>
      </c>
      <c r="Z85" s="52">
        <v>0</v>
      </c>
      <c r="AA85" s="39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2"/>
    </row>
    <row r="86" spans="2:36">
      <c r="B86" s="2"/>
      <c r="C86" s="37" t="s">
        <v>196</v>
      </c>
      <c r="D86" s="38"/>
      <c r="E86" s="34" t="s">
        <v>103</v>
      </c>
      <c r="F86" s="51">
        <v>0</v>
      </c>
      <c r="G86" s="51">
        <v>0</v>
      </c>
      <c r="H86" s="34" t="s">
        <v>103</v>
      </c>
      <c r="I86" s="34" t="s">
        <v>103</v>
      </c>
      <c r="J86" s="51">
        <v>0</v>
      </c>
      <c r="K86" s="51">
        <v>0</v>
      </c>
      <c r="L86" s="51">
        <v>0</v>
      </c>
      <c r="M86" s="51">
        <v>0</v>
      </c>
      <c r="N86" s="53"/>
      <c r="O86" s="53"/>
      <c r="P86" s="39">
        <v>0</v>
      </c>
      <c r="Q86" s="51">
        <v>0</v>
      </c>
      <c r="R86" s="51">
        <v>0</v>
      </c>
      <c r="S86" s="51">
        <v>0</v>
      </c>
      <c r="T86" s="51">
        <v>0</v>
      </c>
      <c r="U86" s="39">
        <v>0</v>
      </c>
      <c r="V86" s="51">
        <v>0</v>
      </c>
      <c r="W86" s="52">
        <v>0</v>
      </c>
      <c r="X86" s="39">
        <v>0</v>
      </c>
      <c r="Y86" s="39">
        <v>0</v>
      </c>
      <c r="Z86" s="52">
        <v>0</v>
      </c>
      <c r="AA86" s="39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2"/>
    </row>
    <row r="87" spans="2:36">
      <c r="B87" s="2"/>
      <c r="C87" s="37" t="s">
        <v>197</v>
      </c>
      <c r="D87" s="38"/>
      <c r="E87" s="34" t="s">
        <v>103</v>
      </c>
      <c r="F87" s="51">
        <v>0</v>
      </c>
      <c r="G87" s="51">
        <v>0</v>
      </c>
      <c r="H87" s="34" t="s">
        <v>103</v>
      </c>
      <c r="I87" s="34" t="s">
        <v>103</v>
      </c>
      <c r="J87" s="51">
        <v>0</v>
      </c>
      <c r="K87" s="51">
        <v>0</v>
      </c>
      <c r="L87" s="51">
        <v>0</v>
      </c>
      <c r="M87" s="51">
        <v>0</v>
      </c>
      <c r="N87" s="53"/>
      <c r="O87" s="53"/>
      <c r="P87" s="39">
        <v>0</v>
      </c>
      <c r="Q87" s="51">
        <v>0</v>
      </c>
      <c r="R87" s="51">
        <v>0</v>
      </c>
      <c r="S87" s="51">
        <v>0</v>
      </c>
      <c r="T87" s="51">
        <v>0</v>
      </c>
      <c r="U87" s="39">
        <v>0</v>
      </c>
      <c r="V87" s="51">
        <v>0</v>
      </c>
      <c r="W87" s="52">
        <v>0</v>
      </c>
      <c r="X87" s="39">
        <v>0</v>
      </c>
      <c r="Y87" s="39">
        <v>0</v>
      </c>
      <c r="Z87" s="52">
        <v>0</v>
      </c>
      <c r="AA87" s="39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2"/>
    </row>
    <row r="88" spans="2:36">
      <c r="B88" s="2"/>
      <c r="C88" s="37" t="s">
        <v>198</v>
      </c>
      <c r="D88" s="38"/>
      <c r="E88" s="34" t="s">
        <v>103</v>
      </c>
      <c r="F88" s="51">
        <v>0</v>
      </c>
      <c r="G88" s="51">
        <v>0</v>
      </c>
      <c r="H88" s="34" t="s">
        <v>103</v>
      </c>
      <c r="I88" s="34" t="s">
        <v>103</v>
      </c>
      <c r="J88" s="51">
        <v>0</v>
      </c>
      <c r="K88" s="51">
        <v>0</v>
      </c>
      <c r="L88" s="51">
        <v>0</v>
      </c>
      <c r="M88" s="51">
        <v>0</v>
      </c>
      <c r="N88" s="53"/>
      <c r="O88" s="53"/>
      <c r="P88" s="39">
        <v>0</v>
      </c>
      <c r="Q88" s="51">
        <v>0</v>
      </c>
      <c r="R88" s="51">
        <v>0</v>
      </c>
      <c r="S88" s="51">
        <v>0</v>
      </c>
      <c r="T88" s="51">
        <v>0</v>
      </c>
      <c r="U88" s="39">
        <v>0</v>
      </c>
      <c r="V88" s="51">
        <v>0</v>
      </c>
      <c r="W88" s="52">
        <v>0</v>
      </c>
      <c r="X88" s="39">
        <v>0</v>
      </c>
      <c r="Y88" s="39">
        <v>0</v>
      </c>
      <c r="Z88" s="52">
        <v>0</v>
      </c>
      <c r="AA88" s="39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2"/>
    </row>
    <row r="89" spans="2:36">
      <c r="B89" s="2"/>
      <c r="C89" s="37" t="s">
        <v>199</v>
      </c>
      <c r="D89" s="38"/>
      <c r="E89" s="34" t="s">
        <v>103</v>
      </c>
      <c r="F89" s="51">
        <v>0</v>
      </c>
      <c r="G89" s="51">
        <v>0</v>
      </c>
      <c r="H89" s="34" t="s">
        <v>103</v>
      </c>
      <c r="I89" s="34" t="s">
        <v>103</v>
      </c>
      <c r="J89" s="51">
        <v>0</v>
      </c>
      <c r="K89" s="51">
        <v>0</v>
      </c>
      <c r="L89" s="51">
        <v>0</v>
      </c>
      <c r="M89" s="51">
        <v>0</v>
      </c>
      <c r="N89" s="53"/>
      <c r="O89" s="53"/>
      <c r="P89" s="39">
        <v>0</v>
      </c>
      <c r="Q89" s="51">
        <v>0</v>
      </c>
      <c r="R89" s="51">
        <v>0</v>
      </c>
      <c r="S89" s="51">
        <v>0</v>
      </c>
      <c r="T89" s="51">
        <v>0</v>
      </c>
      <c r="U89" s="39">
        <v>0</v>
      </c>
      <c r="V89" s="51">
        <v>0</v>
      </c>
      <c r="W89" s="52">
        <v>0</v>
      </c>
      <c r="X89" s="39">
        <v>0</v>
      </c>
      <c r="Y89" s="39">
        <v>0</v>
      </c>
      <c r="Z89" s="52">
        <v>0</v>
      </c>
      <c r="AA89" s="39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2"/>
    </row>
    <row r="90" spans="2:36">
      <c r="B90" s="2"/>
      <c r="C90" s="37" t="s">
        <v>200</v>
      </c>
      <c r="D90" s="38"/>
      <c r="E90" s="34" t="s">
        <v>103</v>
      </c>
      <c r="F90" s="51">
        <v>0</v>
      </c>
      <c r="G90" s="51">
        <v>0</v>
      </c>
      <c r="H90" s="34" t="s">
        <v>103</v>
      </c>
      <c r="I90" s="34" t="s">
        <v>103</v>
      </c>
      <c r="J90" s="51">
        <v>0</v>
      </c>
      <c r="K90" s="51">
        <v>0</v>
      </c>
      <c r="L90" s="51">
        <v>0</v>
      </c>
      <c r="M90" s="51">
        <v>0</v>
      </c>
      <c r="N90" s="53"/>
      <c r="O90" s="53"/>
      <c r="P90" s="39">
        <v>0</v>
      </c>
      <c r="Q90" s="51">
        <v>0</v>
      </c>
      <c r="R90" s="51">
        <v>0</v>
      </c>
      <c r="S90" s="51">
        <v>0</v>
      </c>
      <c r="T90" s="51">
        <v>0</v>
      </c>
      <c r="U90" s="39">
        <v>0</v>
      </c>
      <c r="V90" s="51">
        <v>0</v>
      </c>
      <c r="W90" s="52">
        <v>0</v>
      </c>
      <c r="X90" s="39">
        <v>0</v>
      </c>
      <c r="Y90" s="39">
        <v>0</v>
      </c>
      <c r="Z90" s="52">
        <v>0</v>
      </c>
      <c r="AA90" s="39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2"/>
    </row>
    <row r="91" spans="2:36">
      <c r="B91" s="2"/>
      <c r="C91" s="37" t="s">
        <v>201</v>
      </c>
      <c r="D91" s="38"/>
      <c r="E91" s="34" t="s">
        <v>103</v>
      </c>
      <c r="F91" s="51">
        <v>0</v>
      </c>
      <c r="G91" s="51">
        <v>0</v>
      </c>
      <c r="H91" s="34" t="s">
        <v>103</v>
      </c>
      <c r="I91" s="34" t="s">
        <v>103</v>
      </c>
      <c r="J91" s="51">
        <v>0</v>
      </c>
      <c r="K91" s="51">
        <v>0</v>
      </c>
      <c r="L91" s="51">
        <v>0</v>
      </c>
      <c r="M91" s="51">
        <v>0</v>
      </c>
      <c r="N91" s="53"/>
      <c r="O91" s="53"/>
      <c r="P91" s="39">
        <v>0</v>
      </c>
      <c r="Q91" s="51">
        <v>0</v>
      </c>
      <c r="R91" s="51">
        <v>0</v>
      </c>
      <c r="S91" s="51">
        <v>0</v>
      </c>
      <c r="T91" s="51">
        <v>0</v>
      </c>
      <c r="U91" s="39">
        <v>0</v>
      </c>
      <c r="V91" s="51">
        <v>0</v>
      </c>
      <c r="W91" s="52">
        <v>0</v>
      </c>
      <c r="X91" s="39">
        <v>0</v>
      </c>
      <c r="Y91" s="39">
        <v>0</v>
      </c>
      <c r="Z91" s="52">
        <v>0</v>
      </c>
      <c r="AA91" s="39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2"/>
    </row>
    <row r="92" spans="2:36">
      <c r="B92" s="2"/>
      <c r="C92" s="37" t="s">
        <v>202</v>
      </c>
      <c r="D92" s="38"/>
      <c r="E92" s="34" t="s">
        <v>103</v>
      </c>
      <c r="F92" s="51">
        <v>0</v>
      </c>
      <c r="G92" s="51">
        <v>0</v>
      </c>
      <c r="H92" s="34" t="s">
        <v>103</v>
      </c>
      <c r="I92" s="34" t="s">
        <v>103</v>
      </c>
      <c r="J92" s="51">
        <v>0</v>
      </c>
      <c r="K92" s="51">
        <v>0</v>
      </c>
      <c r="L92" s="51">
        <v>0</v>
      </c>
      <c r="M92" s="51">
        <v>0</v>
      </c>
      <c r="N92" s="53"/>
      <c r="O92" s="53"/>
      <c r="P92" s="39">
        <v>0</v>
      </c>
      <c r="Q92" s="51">
        <v>0</v>
      </c>
      <c r="R92" s="51">
        <v>0</v>
      </c>
      <c r="S92" s="51">
        <v>0</v>
      </c>
      <c r="T92" s="51">
        <v>0</v>
      </c>
      <c r="U92" s="39">
        <v>0</v>
      </c>
      <c r="V92" s="51">
        <v>0</v>
      </c>
      <c r="W92" s="52">
        <v>0</v>
      </c>
      <c r="X92" s="39">
        <v>0</v>
      </c>
      <c r="Y92" s="39">
        <v>0</v>
      </c>
      <c r="Z92" s="52">
        <v>0</v>
      </c>
      <c r="AA92" s="39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2"/>
    </row>
    <row r="93" spans="2:36">
      <c r="B93" s="2"/>
      <c r="C93" s="37" t="s">
        <v>203</v>
      </c>
      <c r="D93" s="38"/>
      <c r="E93" s="34" t="s">
        <v>103</v>
      </c>
      <c r="F93" s="51">
        <v>0</v>
      </c>
      <c r="G93" s="51">
        <v>0</v>
      </c>
      <c r="H93" s="34" t="s">
        <v>103</v>
      </c>
      <c r="I93" s="34" t="s">
        <v>103</v>
      </c>
      <c r="J93" s="51">
        <v>0</v>
      </c>
      <c r="K93" s="51">
        <v>0</v>
      </c>
      <c r="L93" s="51">
        <v>0</v>
      </c>
      <c r="M93" s="51">
        <v>0</v>
      </c>
      <c r="N93" s="53"/>
      <c r="O93" s="53"/>
      <c r="P93" s="39">
        <v>0</v>
      </c>
      <c r="Q93" s="51">
        <v>0</v>
      </c>
      <c r="R93" s="51">
        <v>0</v>
      </c>
      <c r="S93" s="51">
        <v>0</v>
      </c>
      <c r="T93" s="51">
        <v>0</v>
      </c>
      <c r="U93" s="39">
        <v>0</v>
      </c>
      <c r="V93" s="51">
        <v>0</v>
      </c>
      <c r="W93" s="52">
        <v>0</v>
      </c>
      <c r="X93" s="39">
        <v>0</v>
      </c>
      <c r="Y93" s="39">
        <v>0</v>
      </c>
      <c r="Z93" s="52">
        <v>0</v>
      </c>
      <c r="AA93" s="39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2"/>
    </row>
    <row r="94" spans="2:36">
      <c r="B94" s="2"/>
      <c r="C94" s="37" t="s">
        <v>204</v>
      </c>
      <c r="D94" s="38"/>
      <c r="E94" s="34" t="s">
        <v>103</v>
      </c>
      <c r="F94" s="51">
        <v>0</v>
      </c>
      <c r="G94" s="51">
        <v>0</v>
      </c>
      <c r="H94" s="34" t="s">
        <v>103</v>
      </c>
      <c r="I94" s="34" t="s">
        <v>103</v>
      </c>
      <c r="J94" s="51">
        <v>0</v>
      </c>
      <c r="K94" s="51">
        <v>0</v>
      </c>
      <c r="L94" s="51">
        <v>0</v>
      </c>
      <c r="M94" s="51">
        <v>0</v>
      </c>
      <c r="N94" s="53"/>
      <c r="O94" s="53"/>
      <c r="P94" s="39">
        <v>0</v>
      </c>
      <c r="Q94" s="51">
        <v>0</v>
      </c>
      <c r="R94" s="51">
        <v>0</v>
      </c>
      <c r="S94" s="51">
        <v>0</v>
      </c>
      <c r="T94" s="51">
        <v>0</v>
      </c>
      <c r="U94" s="39">
        <v>0</v>
      </c>
      <c r="V94" s="51">
        <v>0</v>
      </c>
      <c r="W94" s="52">
        <v>0</v>
      </c>
      <c r="X94" s="39">
        <v>0</v>
      </c>
      <c r="Y94" s="39">
        <v>0</v>
      </c>
      <c r="Z94" s="52">
        <v>0</v>
      </c>
      <c r="AA94" s="39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2"/>
    </row>
    <row r="95" spans="2:36">
      <c r="B95" s="2"/>
      <c r="C95" s="37" t="s">
        <v>205</v>
      </c>
      <c r="D95" s="38"/>
      <c r="E95" s="34" t="s">
        <v>103</v>
      </c>
      <c r="F95" s="51">
        <v>0</v>
      </c>
      <c r="G95" s="51">
        <v>0</v>
      </c>
      <c r="H95" s="34" t="s">
        <v>103</v>
      </c>
      <c r="I95" s="34" t="s">
        <v>103</v>
      </c>
      <c r="J95" s="51">
        <v>0</v>
      </c>
      <c r="K95" s="51">
        <v>0</v>
      </c>
      <c r="L95" s="51">
        <v>0</v>
      </c>
      <c r="M95" s="51">
        <v>0</v>
      </c>
      <c r="N95" s="53"/>
      <c r="O95" s="53"/>
      <c r="P95" s="39">
        <v>0</v>
      </c>
      <c r="Q95" s="51">
        <v>0</v>
      </c>
      <c r="R95" s="51">
        <v>0</v>
      </c>
      <c r="S95" s="51">
        <v>0</v>
      </c>
      <c r="T95" s="51">
        <v>0</v>
      </c>
      <c r="U95" s="39">
        <v>0</v>
      </c>
      <c r="V95" s="51">
        <v>0</v>
      </c>
      <c r="W95" s="52">
        <v>0</v>
      </c>
      <c r="X95" s="39">
        <v>0</v>
      </c>
      <c r="Y95" s="39">
        <v>0</v>
      </c>
      <c r="Z95" s="52">
        <v>0</v>
      </c>
      <c r="AA95" s="39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2"/>
    </row>
    <row r="96" spans="2:36">
      <c r="B96" s="2"/>
      <c r="C96" s="37" t="s">
        <v>206</v>
      </c>
      <c r="D96" s="38"/>
      <c r="E96" s="34" t="s">
        <v>103</v>
      </c>
      <c r="F96" s="51">
        <v>0</v>
      </c>
      <c r="G96" s="51">
        <v>0</v>
      </c>
      <c r="H96" s="34" t="s">
        <v>103</v>
      </c>
      <c r="I96" s="34" t="s">
        <v>103</v>
      </c>
      <c r="J96" s="51">
        <v>0</v>
      </c>
      <c r="K96" s="51">
        <v>0</v>
      </c>
      <c r="L96" s="51">
        <v>0</v>
      </c>
      <c r="M96" s="51">
        <v>0</v>
      </c>
      <c r="N96" s="53"/>
      <c r="O96" s="53"/>
      <c r="P96" s="39">
        <v>0</v>
      </c>
      <c r="Q96" s="51">
        <v>0</v>
      </c>
      <c r="R96" s="51">
        <v>0</v>
      </c>
      <c r="S96" s="51">
        <v>0</v>
      </c>
      <c r="T96" s="51">
        <v>0</v>
      </c>
      <c r="U96" s="39">
        <v>0</v>
      </c>
      <c r="V96" s="51">
        <v>0</v>
      </c>
      <c r="W96" s="52">
        <v>0</v>
      </c>
      <c r="X96" s="39">
        <v>0</v>
      </c>
      <c r="Y96" s="39">
        <v>0</v>
      </c>
      <c r="Z96" s="52">
        <v>0</v>
      </c>
      <c r="AA96" s="39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2"/>
    </row>
    <row r="97" spans="2:36">
      <c r="B97" s="2"/>
      <c r="C97" s="37" t="s">
        <v>207</v>
      </c>
      <c r="D97" s="38"/>
      <c r="E97" s="34" t="s">
        <v>103</v>
      </c>
      <c r="F97" s="51">
        <v>0</v>
      </c>
      <c r="G97" s="51">
        <v>0</v>
      </c>
      <c r="H97" s="34" t="s">
        <v>103</v>
      </c>
      <c r="I97" s="34" t="s">
        <v>103</v>
      </c>
      <c r="J97" s="51">
        <v>0</v>
      </c>
      <c r="K97" s="51">
        <v>0</v>
      </c>
      <c r="L97" s="51">
        <v>0</v>
      </c>
      <c r="M97" s="51">
        <v>0</v>
      </c>
      <c r="N97" s="53"/>
      <c r="O97" s="53"/>
      <c r="P97" s="39">
        <v>0</v>
      </c>
      <c r="Q97" s="51">
        <v>0</v>
      </c>
      <c r="R97" s="51">
        <v>0</v>
      </c>
      <c r="S97" s="51">
        <v>0</v>
      </c>
      <c r="T97" s="51">
        <v>0</v>
      </c>
      <c r="U97" s="39">
        <v>0</v>
      </c>
      <c r="V97" s="51">
        <v>0</v>
      </c>
      <c r="W97" s="52">
        <v>0</v>
      </c>
      <c r="X97" s="39">
        <v>0</v>
      </c>
      <c r="Y97" s="39">
        <v>0</v>
      </c>
      <c r="Z97" s="52">
        <v>0</v>
      </c>
      <c r="AA97" s="39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2"/>
    </row>
    <row r="98" spans="2:36">
      <c r="B98" s="2"/>
      <c r="C98" s="37" t="s">
        <v>208</v>
      </c>
      <c r="D98" s="38"/>
      <c r="E98" s="34" t="s">
        <v>103</v>
      </c>
      <c r="F98" s="51">
        <v>0</v>
      </c>
      <c r="G98" s="51">
        <v>0</v>
      </c>
      <c r="H98" s="34" t="s">
        <v>103</v>
      </c>
      <c r="I98" s="34" t="s">
        <v>103</v>
      </c>
      <c r="J98" s="51">
        <v>0</v>
      </c>
      <c r="K98" s="51">
        <v>0</v>
      </c>
      <c r="L98" s="51">
        <v>0</v>
      </c>
      <c r="M98" s="51">
        <v>0</v>
      </c>
      <c r="N98" s="53"/>
      <c r="O98" s="53"/>
      <c r="P98" s="39">
        <v>0</v>
      </c>
      <c r="Q98" s="51">
        <v>0</v>
      </c>
      <c r="R98" s="51">
        <v>0</v>
      </c>
      <c r="S98" s="51">
        <v>0</v>
      </c>
      <c r="T98" s="51">
        <v>0</v>
      </c>
      <c r="U98" s="39">
        <v>0</v>
      </c>
      <c r="V98" s="51">
        <v>0</v>
      </c>
      <c r="W98" s="52">
        <v>0</v>
      </c>
      <c r="X98" s="39">
        <v>0</v>
      </c>
      <c r="Y98" s="39">
        <v>0</v>
      </c>
      <c r="Z98" s="52">
        <v>0</v>
      </c>
      <c r="AA98" s="39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2"/>
    </row>
    <row r="99" spans="2:36">
      <c r="B99" s="2"/>
      <c r="C99" s="37" t="s">
        <v>209</v>
      </c>
      <c r="D99" s="38"/>
      <c r="E99" s="34" t="s">
        <v>103</v>
      </c>
      <c r="F99" s="51">
        <v>0</v>
      </c>
      <c r="G99" s="51">
        <v>0</v>
      </c>
      <c r="H99" s="34" t="s">
        <v>103</v>
      </c>
      <c r="I99" s="34" t="s">
        <v>103</v>
      </c>
      <c r="J99" s="51">
        <v>0</v>
      </c>
      <c r="K99" s="51">
        <v>0</v>
      </c>
      <c r="L99" s="51">
        <v>0</v>
      </c>
      <c r="M99" s="51">
        <v>0</v>
      </c>
      <c r="N99" s="53"/>
      <c r="O99" s="53"/>
      <c r="P99" s="39">
        <v>0</v>
      </c>
      <c r="Q99" s="51">
        <v>0</v>
      </c>
      <c r="R99" s="51">
        <v>0</v>
      </c>
      <c r="S99" s="51">
        <v>0</v>
      </c>
      <c r="T99" s="51">
        <v>0</v>
      </c>
      <c r="U99" s="39">
        <v>0</v>
      </c>
      <c r="V99" s="51">
        <v>0</v>
      </c>
      <c r="W99" s="52">
        <v>0</v>
      </c>
      <c r="X99" s="39">
        <v>0</v>
      </c>
      <c r="Y99" s="39">
        <v>0</v>
      </c>
      <c r="Z99" s="52">
        <v>0</v>
      </c>
      <c r="AA99" s="39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2"/>
    </row>
    <row r="100" spans="2:36">
      <c r="B100" s="2"/>
      <c r="C100" s="37" t="s">
        <v>210</v>
      </c>
      <c r="D100" s="38"/>
      <c r="E100" s="34" t="s">
        <v>103</v>
      </c>
      <c r="F100" s="51">
        <v>0</v>
      </c>
      <c r="G100" s="51">
        <v>0</v>
      </c>
      <c r="H100" s="34" t="s">
        <v>103</v>
      </c>
      <c r="I100" s="34" t="s">
        <v>103</v>
      </c>
      <c r="J100" s="51">
        <v>0</v>
      </c>
      <c r="K100" s="51">
        <v>0</v>
      </c>
      <c r="L100" s="51">
        <v>0</v>
      </c>
      <c r="M100" s="51">
        <v>0</v>
      </c>
      <c r="N100" s="53"/>
      <c r="O100" s="53"/>
      <c r="P100" s="39">
        <v>0</v>
      </c>
      <c r="Q100" s="51">
        <v>0</v>
      </c>
      <c r="R100" s="51">
        <v>0</v>
      </c>
      <c r="S100" s="51">
        <v>0</v>
      </c>
      <c r="T100" s="51">
        <v>0</v>
      </c>
      <c r="U100" s="39">
        <v>0</v>
      </c>
      <c r="V100" s="51">
        <v>0</v>
      </c>
      <c r="W100" s="52">
        <v>0</v>
      </c>
      <c r="X100" s="39">
        <v>0</v>
      </c>
      <c r="Y100" s="39">
        <v>0</v>
      </c>
      <c r="Z100" s="52">
        <v>0</v>
      </c>
      <c r="AA100" s="39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2"/>
    </row>
    <row r="101" spans="2:36">
      <c r="B101" s="2"/>
      <c r="C101" s="37" t="s">
        <v>211</v>
      </c>
      <c r="D101" s="38"/>
      <c r="E101" s="34" t="s">
        <v>103</v>
      </c>
      <c r="F101" s="51">
        <v>0</v>
      </c>
      <c r="G101" s="51">
        <v>0</v>
      </c>
      <c r="H101" s="34" t="s">
        <v>103</v>
      </c>
      <c r="I101" s="34" t="s">
        <v>103</v>
      </c>
      <c r="J101" s="51">
        <v>0</v>
      </c>
      <c r="K101" s="51">
        <v>0</v>
      </c>
      <c r="L101" s="51">
        <v>0</v>
      </c>
      <c r="M101" s="51">
        <v>0</v>
      </c>
      <c r="N101" s="53"/>
      <c r="O101" s="53"/>
      <c r="P101" s="39">
        <v>0</v>
      </c>
      <c r="Q101" s="51">
        <v>0</v>
      </c>
      <c r="R101" s="51">
        <v>0</v>
      </c>
      <c r="S101" s="51">
        <v>0</v>
      </c>
      <c r="T101" s="51">
        <v>0</v>
      </c>
      <c r="U101" s="39">
        <v>0</v>
      </c>
      <c r="V101" s="51">
        <v>0</v>
      </c>
      <c r="W101" s="52">
        <v>0</v>
      </c>
      <c r="X101" s="39">
        <v>0</v>
      </c>
      <c r="Y101" s="39">
        <v>0</v>
      </c>
      <c r="Z101" s="52">
        <v>0</v>
      </c>
      <c r="AA101" s="39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2"/>
    </row>
    <row r="102" spans="2:36">
      <c r="B102" s="2"/>
      <c r="C102" s="37" t="s">
        <v>212</v>
      </c>
      <c r="D102" s="38"/>
      <c r="E102" s="34" t="s">
        <v>103</v>
      </c>
      <c r="F102" s="51">
        <v>0</v>
      </c>
      <c r="G102" s="51">
        <v>0</v>
      </c>
      <c r="H102" s="34" t="s">
        <v>103</v>
      </c>
      <c r="I102" s="34" t="s">
        <v>103</v>
      </c>
      <c r="J102" s="51">
        <v>0</v>
      </c>
      <c r="K102" s="51">
        <v>0</v>
      </c>
      <c r="L102" s="51">
        <v>0</v>
      </c>
      <c r="M102" s="51">
        <v>0</v>
      </c>
      <c r="N102" s="53"/>
      <c r="O102" s="53"/>
      <c r="P102" s="39">
        <v>0</v>
      </c>
      <c r="Q102" s="51">
        <v>0</v>
      </c>
      <c r="R102" s="51">
        <v>0</v>
      </c>
      <c r="S102" s="51">
        <v>0</v>
      </c>
      <c r="T102" s="51">
        <v>0</v>
      </c>
      <c r="U102" s="39">
        <v>0</v>
      </c>
      <c r="V102" s="51">
        <v>0</v>
      </c>
      <c r="W102" s="52">
        <v>0</v>
      </c>
      <c r="X102" s="39">
        <v>0</v>
      </c>
      <c r="Y102" s="39">
        <v>0</v>
      </c>
      <c r="Z102" s="52">
        <v>0</v>
      </c>
      <c r="AA102" s="39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2"/>
    </row>
    <row r="103" spans="2:36">
      <c r="B103" s="2"/>
      <c r="C103" s="37" t="s">
        <v>213</v>
      </c>
      <c r="D103" s="38"/>
      <c r="E103" s="34" t="s">
        <v>103</v>
      </c>
      <c r="F103" s="51">
        <v>0</v>
      </c>
      <c r="G103" s="51">
        <v>0</v>
      </c>
      <c r="H103" s="34" t="s">
        <v>103</v>
      </c>
      <c r="I103" s="34" t="s">
        <v>103</v>
      </c>
      <c r="J103" s="51">
        <v>0</v>
      </c>
      <c r="K103" s="51">
        <v>0</v>
      </c>
      <c r="L103" s="51">
        <v>0</v>
      </c>
      <c r="M103" s="51">
        <v>0</v>
      </c>
      <c r="N103" s="53"/>
      <c r="O103" s="53"/>
      <c r="P103" s="39">
        <v>0</v>
      </c>
      <c r="Q103" s="51">
        <v>0</v>
      </c>
      <c r="R103" s="51">
        <v>0</v>
      </c>
      <c r="S103" s="51">
        <v>0</v>
      </c>
      <c r="T103" s="51">
        <v>0</v>
      </c>
      <c r="U103" s="39">
        <v>0</v>
      </c>
      <c r="V103" s="51">
        <v>0</v>
      </c>
      <c r="W103" s="52">
        <v>0</v>
      </c>
      <c r="X103" s="39">
        <v>0</v>
      </c>
      <c r="Y103" s="39">
        <v>0</v>
      </c>
      <c r="Z103" s="52">
        <v>0</v>
      </c>
      <c r="AA103" s="39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2"/>
    </row>
    <row r="104" spans="2:36">
      <c r="B104" s="2"/>
      <c r="C104" s="37" t="s">
        <v>214</v>
      </c>
      <c r="D104" s="38"/>
      <c r="E104" s="34" t="s">
        <v>103</v>
      </c>
      <c r="F104" s="51">
        <v>0</v>
      </c>
      <c r="G104" s="51">
        <v>0</v>
      </c>
      <c r="H104" s="34" t="s">
        <v>103</v>
      </c>
      <c r="I104" s="34" t="s">
        <v>103</v>
      </c>
      <c r="J104" s="51">
        <v>0</v>
      </c>
      <c r="K104" s="51">
        <v>0</v>
      </c>
      <c r="L104" s="51">
        <v>0</v>
      </c>
      <c r="M104" s="51">
        <v>0</v>
      </c>
      <c r="N104" s="53"/>
      <c r="O104" s="53"/>
      <c r="P104" s="39">
        <v>0</v>
      </c>
      <c r="Q104" s="51">
        <v>0</v>
      </c>
      <c r="R104" s="51">
        <v>0</v>
      </c>
      <c r="S104" s="51">
        <v>0</v>
      </c>
      <c r="T104" s="51">
        <v>0</v>
      </c>
      <c r="U104" s="39">
        <v>0</v>
      </c>
      <c r="V104" s="51">
        <v>0</v>
      </c>
      <c r="W104" s="52">
        <v>0</v>
      </c>
      <c r="X104" s="39">
        <v>0</v>
      </c>
      <c r="Y104" s="39">
        <v>0</v>
      </c>
      <c r="Z104" s="52">
        <v>0</v>
      </c>
      <c r="AA104" s="39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2"/>
    </row>
    <row r="105" spans="2:36">
      <c r="B105" s="2"/>
      <c r="C105" s="37" t="s">
        <v>215</v>
      </c>
      <c r="D105" s="38"/>
      <c r="E105" s="34" t="s">
        <v>103</v>
      </c>
      <c r="F105" s="51">
        <v>0</v>
      </c>
      <c r="G105" s="51">
        <v>0</v>
      </c>
      <c r="H105" s="34" t="s">
        <v>103</v>
      </c>
      <c r="I105" s="34" t="s">
        <v>103</v>
      </c>
      <c r="J105" s="51">
        <v>0</v>
      </c>
      <c r="K105" s="51">
        <v>0</v>
      </c>
      <c r="L105" s="51">
        <v>0</v>
      </c>
      <c r="M105" s="51">
        <v>0</v>
      </c>
      <c r="N105" s="53"/>
      <c r="O105" s="53"/>
      <c r="P105" s="39">
        <v>0</v>
      </c>
      <c r="Q105" s="51">
        <v>0</v>
      </c>
      <c r="R105" s="51">
        <v>0</v>
      </c>
      <c r="S105" s="51">
        <v>0</v>
      </c>
      <c r="T105" s="51">
        <v>0</v>
      </c>
      <c r="U105" s="39">
        <v>0</v>
      </c>
      <c r="V105" s="51">
        <v>0</v>
      </c>
      <c r="W105" s="52">
        <v>0</v>
      </c>
      <c r="X105" s="39">
        <v>0</v>
      </c>
      <c r="Y105" s="39">
        <v>0</v>
      </c>
      <c r="Z105" s="52">
        <v>0</v>
      </c>
      <c r="AA105" s="39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2"/>
    </row>
    <row r="106" spans="2:36">
      <c r="B106" s="2"/>
      <c r="C106" s="37" t="s">
        <v>216</v>
      </c>
      <c r="D106" s="38"/>
      <c r="E106" s="34" t="s">
        <v>103</v>
      </c>
      <c r="F106" s="51">
        <v>0</v>
      </c>
      <c r="G106" s="51">
        <v>0</v>
      </c>
      <c r="H106" s="34" t="s">
        <v>103</v>
      </c>
      <c r="I106" s="34" t="s">
        <v>103</v>
      </c>
      <c r="J106" s="51">
        <v>0</v>
      </c>
      <c r="K106" s="51">
        <v>0</v>
      </c>
      <c r="L106" s="51">
        <v>0</v>
      </c>
      <c r="M106" s="51">
        <v>0</v>
      </c>
      <c r="N106" s="53"/>
      <c r="O106" s="53"/>
      <c r="P106" s="39">
        <v>0</v>
      </c>
      <c r="Q106" s="51">
        <v>0</v>
      </c>
      <c r="R106" s="51">
        <v>0</v>
      </c>
      <c r="S106" s="51">
        <v>0</v>
      </c>
      <c r="T106" s="51">
        <v>0</v>
      </c>
      <c r="U106" s="39">
        <v>0</v>
      </c>
      <c r="V106" s="51">
        <v>0</v>
      </c>
      <c r="W106" s="52">
        <v>0</v>
      </c>
      <c r="X106" s="39">
        <v>0</v>
      </c>
      <c r="Y106" s="39">
        <v>0</v>
      </c>
      <c r="Z106" s="52">
        <v>0</v>
      </c>
      <c r="AA106" s="39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2"/>
    </row>
    <row r="107" spans="2:36">
      <c r="B107" s="2"/>
      <c r="C107" s="37" t="s">
        <v>217</v>
      </c>
      <c r="D107" s="38"/>
      <c r="E107" s="34" t="s">
        <v>103</v>
      </c>
      <c r="F107" s="51">
        <v>0</v>
      </c>
      <c r="G107" s="51">
        <v>0</v>
      </c>
      <c r="H107" s="34" t="s">
        <v>103</v>
      </c>
      <c r="I107" s="34" t="s">
        <v>103</v>
      </c>
      <c r="J107" s="51">
        <v>0</v>
      </c>
      <c r="K107" s="51">
        <v>0</v>
      </c>
      <c r="L107" s="51">
        <v>0</v>
      </c>
      <c r="M107" s="51">
        <v>0</v>
      </c>
      <c r="N107" s="53"/>
      <c r="O107" s="53"/>
      <c r="P107" s="39">
        <v>0</v>
      </c>
      <c r="Q107" s="51">
        <v>0</v>
      </c>
      <c r="R107" s="51">
        <v>0</v>
      </c>
      <c r="S107" s="51">
        <v>0</v>
      </c>
      <c r="T107" s="51">
        <v>0</v>
      </c>
      <c r="U107" s="39">
        <v>0</v>
      </c>
      <c r="V107" s="51">
        <v>0</v>
      </c>
      <c r="W107" s="52">
        <v>0</v>
      </c>
      <c r="X107" s="39">
        <v>0</v>
      </c>
      <c r="Y107" s="39">
        <v>0</v>
      </c>
      <c r="Z107" s="52">
        <v>0</v>
      </c>
      <c r="AA107" s="39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2"/>
    </row>
    <row r="108" spans="2:36">
      <c r="B108" s="2"/>
      <c r="C108" s="37" t="s">
        <v>218</v>
      </c>
      <c r="D108" s="38"/>
      <c r="E108" s="34" t="s">
        <v>103</v>
      </c>
      <c r="F108" s="51">
        <v>0</v>
      </c>
      <c r="G108" s="51">
        <v>0</v>
      </c>
      <c r="H108" s="34" t="s">
        <v>103</v>
      </c>
      <c r="I108" s="34" t="s">
        <v>103</v>
      </c>
      <c r="J108" s="51">
        <v>0</v>
      </c>
      <c r="K108" s="51">
        <v>0</v>
      </c>
      <c r="L108" s="51">
        <v>0</v>
      </c>
      <c r="M108" s="51">
        <v>0</v>
      </c>
      <c r="N108" s="53"/>
      <c r="O108" s="53"/>
      <c r="P108" s="39">
        <v>0</v>
      </c>
      <c r="Q108" s="51">
        <v>0</v>
      </c>
      <c r="R108" s="51">
        <v>0</v>
      </c>
      <c r="S108" s="51">
        <v>0</v>
      </c>
      <c r="T108" s="51">
        <v>0</v>
      </c>
      <c r="U108" s="39">
        <v>0</v>
      </c>
      <c r="V108" s="51">
        <v>0</v>
      </c>
      <c r="W108" s="52">
        <v>0</v>
      </c>
      <c r="X108" s="39">
        <v>0</v>
      </c>
      <c r="Y108" s="39">
        <v>0</v>
      </c>
      <c r="Z108" s="52">
        <v>0</v>
      </c>
      <c r="AA108" s="39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2"/>
    </row>
    <row r="109" spans="2:36">
      <c r="B109" s="2"/>
      <c r="C109" s="37" t="s">
        <v>219</v>
      </c>
      <c r="D109" s="38"/>
      <c r="E109" s="34" t="s">
        <v>103</v>
      </c>
      <c r="F109" s="51">
        <v>0</v>
      </c>
      <c r="G109" s="51">
        <v>0</v>
      </c>
      <c r="H109" s="34" t="s">
        <v>103</v>
      </c>
      <c r="I109" s="34" t="s">
        <v>103</v>
      </c>
      <c r="J109" s="51">
        <v>0</v>
      </c>
      <c r="K109" s="51">
        <v>0</v>
      </c>
      <c r="L109" s="51">
        <v>0</v>
      </c>
      <c r="M109" s="51">
        <v>0</v>
      </c>
      <c r="N109" s="53"/>
      <c r="O109" s="53"/>
      <c r="P109" s="39">
        <v>0</v>
      </c>
      <c r="Q109" s="51">
        <v>0</v>
      </c>
      <c r="R109" s="51">
        <v>0</v>
      </c>
      <c r="S109" s="51">
        <v>0</v>
      </c>
      <c r="T109" s="51">
        <v>0</v>
      </c>
      <c r="U109" s="39">
        <v>0</v>
      </c>
      <c r="V109" s="51">
        <v>0</v>
      </c>
      <c r="W109" s="52">
        <v>0</v>
      </c>
      <c r="X109" s="39">
        <v>0</v>
      </c>
      <c r="Y109" s="39">
        <v>0</v>
      </c>
      <c r="Z109" s="52">
        <v>0</v>
      </c>
      <c r="AA109" s="39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2"/>
    </row>
    <row r="110" spans="2:36">
      <c r="B110" s="2"/>
      <c r="C110" s="37" t="s">
        <v>220</v>
      </c>
      <c r="D110" s="38"/>
      <c r="E110" s="34" t="s">
        <v>103</v>
      </c>
      <c r="F110" s="51">
        <v>0</v>
      </c>
      <c r="G110" s="51">
        <v>0</v>
      </c>
      <c r="H110" s="34" t="s">
        <v>103</v>
      </c>
      <c r="I110" s="34" t="s">
        <v>103</v>
      </c>
      <c r="J110" s="51">
        <v>0</v>
      </c>
      <c r="K110" s="51">
        <v>0</v>
      </c>
      <c r="L110" s="51">
        <v>0</v>
      </c>
      <c r="M110" s="51">
        <v>0</v>
      </c>
      <c r="N110" s="53"/>
      <c r="O110" s="53"/>
      <c r="P110" s="39">
        <v>0</v>
      </c>
      <c r="Q110" s="51">
        <v>0</v>
      </c>
      <c r="R110" s="51">
        <v>0</v>
      </c>
      <c r="S110" s="51">
        <v>0</v>
      </c>
      <c r="T110" s="51">
        <v>0</v>
      </c>
      <c r="U110" s="39">
        <v>0</v>
      </c>
      <c r="V110" s="51">
        <v>0</v>
      </c>
      <c r="W110" s="52">
        <v>0</v>
      </c>
      <c r="X110" s="39">
        <v>0</v>
      </c>
      <c r="Y110" s="39">
        <v>0</v>
      </c>
      <c r="Z110" s="52">
        <v>0</v>
      </c>
      <c r="AA110" s="39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2"/>
    </row>
    <row r="111" spans="2:36">
      <c r="B111" s="2"/>
      <c r="C111" s="37" t="s">
        <v>221</v>
      </c>
      <c r="D111" s="38"/>
      <c r="E111" s="34" t="s">
        <v>103</v>
      </c>
      <c r="F111" s="51">
        <v>0</v>
      </c>
      <c r="G111" s="51">
        <v>0</v>
      </c>
      <c r="H111" s="34" t="s">
        <v>103</v>
      </c>
      <c r="I111" s="34" t="s">
        <v>103</v>
      </c>
      <c r="J111" s="51">
        <v>0</v>
      </c>
      <c r="K111" s="51">
        <v>0</v>
      </c>
      <c r="L111" s="51">
        <v>0</v>
      </c>
      <c r="M111" s="51">
        <v>0</v>
      </c>
      <c r="N111" s="53"/>
      <c r="O111" s="53"/>
      <c r="P111" s="39">
        <v>0</v>
      </c>
      <c r="Q111" s="51">
        <v>0</v>
      </c>
      <c r="R111" s="51">
        <v>0</v>
      </c>
      <c r="S111" s="51">
        <v>0</v>
      </c>
      <c r="T111" s="51">
        <v>0</v>
      </c>
      <c r="U111" s="39">
        <v>0</v>
      </c>
      <c r="V111" s="51">
        <v>0</v>
      </c>
      <c r="W111" s="52">
        <v>0</v>
      </c>
      <c r="X111" s="39">
        <v>0</v>
      </c>
      <c r="Y111" s="39">
        <v>0</v>
      </c>
      <c r="Z111" s="52">
        <v>0</v>
      </c>
      <c r="AA111" s="39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2"/>
    </row>
    <row r="112" spans="2:36">
      <c r="B112" s="2"/>
      <c r="C112" s="37" t="s">
        <v>222</v>
      </c>
      <c r="D112" s="38"/>
      <c r="E112" s="34" t="s">
        <v>103</v>
      </c>
      <c r="F112" s="51">
        <v>0</v>
      </c>
      <c r="G112" s="51">
        <v>0</v>
      </c>
      <c r="H112" s="34" t="s">
        <v>103</v>
      </c>
      <c r="I112" s="34" t="s">
        <v>103</v>
      </c>
      <c r="J112" s="51">
        <v>0</v>
      </c>
      <c r="K112" s="51">
        <v>0</v>
      </c>
      <c r="L112" s="51">
        <v>0</v>
      </c>
      <c r="M112" s="51">
        <v>0</v>
      </c>
      <c r="N112" s="53"/>
      <c r="O112" s="53"/>
      <c r="P112" s="39">
        <v>0</v>
      </c>
      <c r="Q112" s="51">
        <v>0</v>
      </c>
      <c r="R112" s="51">
        <v>0</v>
      </c>
      <c r="S112" s="51">
        <v>0</v>
      </c>
      <c r="T112" s="51">
        <v>0</v>
      </c>
      <c r="U112" s="39">
        <v>0</v>
      </c>
      <c r="V112" s="51">
        <v>0</v>
      </c>
      <c r="W112" s="52">
        <v>0</v>
      </c>
      <c r="X112" s="39">
        <v>0</v>
      </c>
      <c r="Y112" s="39">
        <v>0</v>
      </c>
      <c r="Z112" s="52">
        <v>0</v>
      </c>
      <c r="AA112" s="39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2"/>
    </row>
    <row r="113" spans="1:36">
      <c r="B113" s="2"/>
      <c r="C113" s="37" t="s">
        <v>223</v>
      </c>
      <c r="D113" s="38"/>
      <c r="E113" s="34" t="s">
        <v>103</v>
      </c>
      <c r="F113" s="51">
        <v>0</v>
      </c>
      <c r="G113" s="51">
        <v>0</v>
      </c>
      <c r="H113" s="34" t="s">
        <v>103</v>
      </c>
      <c r="I113" s="34" t="s">
        <v>103</v>
      </c>
      <c r="J113" s="51">
        <v>0</v>
      </c>
      <c r="K113" s="51">
        <v>0</v>
      </c>
      <c r="L113" s="51">
        <v>0</v>
      </c>
      <c r="M113" s="51">
        <v>0</v>
      </c>
      <c r="N113" s="53"/>
      <c r="O113" s="53"/>
      <c r="P113" s="39">
        <v>0</v>
      </c>
      <c r="Q113" s="51">
        <v>0</v>
      </c>
      <c r="R113" s="51">
        <v>0</v>
      </c>
      <c r="S113" s="51">
        <v>0</v>
      </c>
      <c r="T113" s="51">
        <v>0</v>
      </c>
      <c r="U113" s="39">
        <v>0</v>
      </c>
      <c r="V113" s="51">
        <v>0</v>
      </c>
      <c r="W113" s="52">
        <v>0</v>
      </c>
      <c r="X113" s="39">
        <v>0</v>
      </c>
      <c r="Y113" s="39">
        <v>0</v>
      </c>
      <c r="Z113" s="52">
        <v>0</v>
      </c>
      <c r="AA113" s="39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2"/>
    </row>
    <row r="114" spans="1:36" s="14" customFormat="1">
      <c r="B114" s="5"/>
      <c r="C114" s="49" t="s">
        <v>224</v>
      </c>
      <c r="D114" s="50"/>
      <c r="E114" s="34" t="s">
        <v>103</v>
      </c>
      <c r="F114" s="51">
        <v>0</v>
      </c>
      <c r="G114" s="51">
        <v>0</v>
      </c>
      <c r="H114" s="34" t="s">
        <v>103</v>
      </c>
      <c r="I114" s="34" t="s">
        <v>103</v>
      </c>
      <c r="J114" s="51">
        <v>0</v>
      </c>
      <c r="K114" s="51">
        <v>0</v>
      </c>
      <c r="L114" s="51">
        <v>0</v>
      </c>
      <c r="M114" s="51">
        <v>0</v>
      </c>
      <c r="N114" s="53"/>
      <c r="O114" s="53"/>
      <c r="P114" s="39">
        <v>0</v>
      </c>
      <c r="Q114" s="51">
        <v>0</v>
      </c>
      <c r="R114" s="51">
        <v>0</v>
      </c>
      <c r="S114" s="51">
        <v>0</v>
      </c>
      <c r="T114" s="51">
        <v>0</v>
      </c>
      <c r="U114" s="39">
        <v>0</v>
      </c>
      <c r="V114" s="51">
        <v>0</v>
      </c>
      <c r="W114" s="52">
        <v>0</v>
      </c>
      <c r="X114" s="39">
        <v>0</v>
      </c>
      <c r="Y114" s="39">
        <v>0</v>
      </c>
      <c r="Z114" s="52">
        <v>0</v>
      </c>
      <c r="AA114" s="39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"/>
    </row>
    <row r="115" spans="1:36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51">
        <v>0</v>
      </c>
      <c r="G115" s="51">
        <v>0</v>
      </c>
      <c r="H115" s="34" t="s">
        <v>103</v>
      </c>
      <c r="I115" s="34" t="s">
        <v>103</v>
      </c>
      <c r="J115" s="51">
        <v>0</v>
      </c>
      <c r="K115" s="51">
        <v>0</v>
      </c>
      <c r="L115" s="51">
        <v>0</v>
      </c>
      <c r="M115" s="51">
        <v>0</v>
      </c>
      <c r="N115" s="53"/>
      <c r="O115" s="53"/>
      <c r="P115" s="39">
        <v>0</v>
      </c>
      <c r="Q115" s="51">
        <v>0</v>
      </c>
      <c r="R115" s="51">
        <v>0</v>
      </c>
      <c r="S115" s="51">
        <v>0</v>
      </c>
      <c r="T115" s="51">
        <v>0</v>
      </c>
      <c r="U115" s="39">
        <v>0</v>
      </c>
      <c r="V115" s="51">
        <v>0</v>
      </c>
      <c r="W115" s="52">
        <v>0</v>
      </c>
      <c r="X115" s="39">
        <v>0</v>
      </c>
      <c r="Y115" s="39">
        <v>0</v>
      </c>
      <c r="Z115" s="52">
        <v>0</v>
      </c>
      <c r="AA115" s="39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"/>
    </row>
    <row r="116" spans="1:36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</sheetData>
  <sheetProtection sheet="1" formatColumns="0" formatRows="0" insertRows="0" deleteRows="0" selectLockedCells="1"/>
  <mergeCells count="3240">
    <mergeCell ref="O15"/>
    <mergeCell ref="N14:O14"/>
    <mergeCell ref="P15"/>
    <mergeCell ref="Q15"/>
    <mergeCell ref="I15"/>
    <mergeCell ref="J15"/>
    <mergeCell ref="K15"/>
    <mergeCell ref="L15"/>
    <mergeCell ref="M15"/>
    <mergeCell ref="C14:D15"/>
    <mergeCell ref="E15"/>
    <mergeCell ref="F15"/>
    <mergeCell ref="G15"/>
    <mergeCell ref="H15"/>
    <mergeCell ref="E14:M14"/>
    <mergeCell ref="C7:AI7"/>
    <mergeCell ref="C9:AI9"/>
    <mergeCell ref="C10:AI10"/>
    <mergeCell ref="C11:AI11"/>
    <mergeCell ref="C13:AI13"/>
    <mergeCell ref="AG15"/>
    <mergeCell ref="AH15"/>
    <mergeCell ref="P14:AI14"/>
    <mergeCell ref="AI15"/>
    <mergeCell ref="C16:D16"/>
    <mergeCell ref="E16"/>
    <mergeCell ref="F16"/>
    <mergeCell ref="G16"/>
    <mergeCell ref="H16"/>
    <mergeCell ref="I16"/>
    <mergeCell ref="J16"/>
    <mergeCell ref="K16"/>
    <mergeCell ref="L16"/>
    <mergeCell ref="M16"/>
    <mergeCell ref="N16"/>
    <mergeCell ref="O16"/>
    <mergeCell ref="AB15"/>
    <mergeCell ref="AC15"/>
    <mergeCell ref="AD15"/>
    <mergeCell ref="AE15"/>
    <mergeCell ref="AF15"/>
    <mergeCell ref="W15"/>
    <mergeCell ref="X15"/>
    <mergeCell ref="Y15"/>
    <mergeCell ref="Z15"/>
    <mergeCell ref="AA15"/>
    <mergeCell ref="R15"/>
    <mergeCell ref="S15"/>
    <mergeCell ref="T15"/>
    <mergeCell ref="U15"/>
    <mergeCell ref="V15"/>
    <mergeCell ref="N15"/>
    <mergeCell ref="AH16"/>
    <mergeCell ref="AI16"/>
    <mergeCell ref="Z16"/>
    <mergeCell ref="AA16"/>
    <mergeCell ref="AB16"/>
    <mergeCell ref="AC16"/>
    <mergeCell ref="AD16"/>
    <mergeCell ref="U16"/>
    <mergeCell ref="V16"/>
    <mergeCell ref="W16"/>
    <mergeCell ref="X16"/>
    <mergeCell ref="Y16"/>
    <mergeCell ref="P16"/>
    <mergeCell ref="Q16"/>
    <mergeCell ref="R16"/>
    <mergeCell ref="S16"/>
    <mergeCell ref="T16"/>
    <mergeCell ref="O17"/>
    <mergeCell ref="P17"/>
    <mergeCell ref="Q17"/>
    <mergeCell ref="R17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AE16"/>
    <mergeCell ref="AF16"/>
    <mergeCell ref="AG16"/>
    <mergeCell ref="AH17"/>
    <mergeCell ref="AI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O18"/>
    <mergeCell ref="P18"/>
    <mergeCell ref="Q18"/>
    <mergeCell ref="AC17"/>
    <mergeCell ref="AD17"/>
    <mergeCell ref="AE17"/>
    <mergeCell ref="AF17"/>
    <mergeCell ref="AG17"/>
    <mergeCell ref="X17"/>
    <mergeCell ref="Y17"/>
    <mergeCell ref="Z17"/>
    <mergeCell ref="AA17"/>
    <mergeCell ref="AB17"/>
    <mergeCell ref="S17"/>
    <mergeCell ref="T17"/>
    <mergeCell ref="U17"/>
    <mergeCell ref="V17"/>
    <mergeCell ref="W17"/>
    <mergeCell ref="N17"/>
    <mergeCell ref="AG18"/>
    <mergeCell ref="AH18"/>
    <mergeCell ref="AI18"/>
    <mergeCell ref="C19:D19"/>
    <mergeCell ref="E19"/>
    <mergeCell ref="F19"/>
    <mergeCell ref="G19"/>
    <mergeCell ref="H19"/>
    <mergeCell ref="I19"/>
    <mergeCell ref="J19"/>
    <mergeCell ref="K19"/>
    <mergeCell ref="L19"/>
    <mergeCell ref="M19"/>
    <mergeCell ref="N19"/>
    <mergeCell ref="O19"/>
    <mergeCell ref="P19"/>
    <mergeCell ref="AB18"/>
    <mergeCell ref="AC18"/>
    <mergeCell ref="AD18"/>
    <mergeCell ref="AE18"/>
    <mergeCell ref="AF18"/>
    <mergeCell ref="W18"/>
    <mergeCell ref="X18"/>
    <mergeCell ref="Y18"/>
    <mergeCell ref="Z18"/>
    <mergeCell ref="AA18"/>
    <mergeCell ref="R18"/>
    <mergeCell ref="S18"/>
    <mergeCell ref="T18"/>
    <mergeCell ref="U18"/>
    <mergeCell ref="V18"/>
    <mergeCell ref="AF19"/>
    <mergeCell ref="AG19"/>
    <mergeCell ref="AH19"/>
    <mergeCell ref="AI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O20"/>
    <mergeCell ref="AA19"/>
    <mergeCell ref="AB19"/>
    <mergeCell ref="AC19"/>
    <mergeCell ref="AD19"/>
    <mergeCell ref="AE19"/>
    <mergeCell ref="V19"/>
    <mergeCell ref="W19"/>
    <mergeCell ref="X19"/>
    <mergeCell ref="Y19"/>
    <mergeCell ref="Z19"/>
    <mergeCell ref="Q19"/>
    <mergeCell ref="R19"/>
    <mergeCell ref="S19"/>
    <mergeCell ref="T19"/>
    <mergeCell ref="U19"/>
    <mergeCell ref="AH20"/>
    <mergeCell ref="AI20"/>
    <mergeCell ref="Z20"/>
    <mergeCell ref="AA20"/>
    <mergeCell ref="AB20"/>
    <mergeCell ref="AC20"/>
    <mergeCell ref="AD20"/>
    <mergeCell ref="U20"/>
    <mergeCell ref="V20"/>
    <mergeCell ref="W20"/>
    <mergeCell ref="X20"/>
    <mergeCell ref="Y20"/>
    <mergeCell ref="P20"/>
    <mergeCell ref="Q20"/>
    <mergeCell ref="R20"/>
    <mergeCell ref="S20"/>
    <mergeCell ref="T20"/>
    <mergeCell ref="O21"/>
    <mergeCell ref="P21"/>
    <mergeCell ref="Q21"/>
    <mergeCell ref="R21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AE20"/>
    <mergeCell ref="AF20"/>
    <mergeCell ref="AG20"/>
    <mergeCell ref="AH21"/>
    <mergeCell ref="AI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O22"/>
    <mergeCell ref="P22"/>
    <mergeCell ref="Q22"/>
    <mergeCell ref="AC21"/>
    <mergeCell ref="AD21"/>
    <mergeCell ref="AE21"/>
    <mergeCell ref="AF21"/>
    <mergeCell ref="AG21"/>
    <mergeCell ref="X21"/>
    <mergeCell ref="Y21"/>
    <mergeCell ref="Z21"/>
    <mergeCell ref="AA21"/>
    <mergeCell ref="AB21"/>
    <mergeCell ref="S21"/>
    <mergeCell ref="T21"/>
    <mergeCell ref="U21"/>
    <mergeCell ref="V21"/>
    <mergeCell ref="W21"/>
    <mergeCell ref="N21"/>
    <mergeCell ref="AG22"/>
    <mergeCell ref="AH22"/>
    <mergeCell ref="AI22"/>
    <mergeCell ref="C23:D23"/>
    <mergeCell ref="E23"/>
    <mergeCell ref="F23"/>
    <mergeCell ref="G23"/>
    <mergeCell ref="H23"/>
    <mergeCell ref="I23"/>
    <mergeCell ref="J23"/>
    <mergeCell ref="K23"/>
    <mergeCell ref="L23"/>
    <mergeCell ref="M23"/>
    <mergeCell ref="N23"/>
    <mergeCell ref="O23"/>
    <mergeCell ref="P23"/>
    <mergeCell ref="AB22"/>
    <mergeCell ref="AC22"/>
    <mergeCell ref="AD22"/>
    <mergeCell ref="AE22"/>
    <mergeCell ref="AF22"/>
    <mergeCell ref="W22"/>
    <mergeCell ref="X22"/>
    <mergeCell ref="Y22"/>
    <mergeCell ref="Z22"/>
    <mergeCell ref="AA22"/>
    <mergeCell ref="R22"/>
    <mergeCell ref="S22"/>
    <mergeCell ref="T22"/>
    <mergeCell ref="U22"/>
    <mergeCell ref="V22"/>
    <mergeCell ref="AF23"/>
    <mergeCell ref="AG23"/>
    <mergeCell ref="AH23"/>
    <mergeCell ref="AI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O24"/>
    <mergeCell ref="AA23"/>
    <mergeCell ref="AB23"/>
    <mergeCell ref="AC23"/>
    <mergeCell ref="AD23"/>
    <mergeCell ref="AE23"/>
    <mergeCell ref="V23"/>
    <mergeCell ref="W23"/>
    <mergeCell ref="X23"/>
    <mergeCell ref="Y23"/>
    <mergeCell ref="Z23"/>
    <mergeCell ref="Q23"/>
    <mergeCell ref="R23"/>
    <mergeCell ref="S23"/>
    <mergeCell ref="T23"/>
    <mergeCell ref="U23"/>
    <mergeCell ref="AH24"/>
    <mergeCell ref="AI24"/>
    <mergeCell ref="Z24"/>
    <mergeCell ref="AA24"/>
    <mergeCell ref="AB24"/>
    <mergeCell ref="AC24"/>
    <mergeCell ref="AD24"/>
    <mergeCell ref="U24"/>
    <mergeCell ref="V24"/>
    <mergeCell ref="W24"/>
    <mergeCell ref="X24"/>
    <mergeCell ref="Y24"/>
    <mergeCell ref="P24"/>
    <mergeCell ref="Q24"/>
    <mergeCell ref="R24"/>
    <mergeCell ref="S24"/>
    <mergeCell ref="T24"/>
    <mergeCell ref="O25"/>
    <mergeCell ref="P25"/>
    <mergeCell ref="Q25"/>
    <mergeCell ref="R25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AE24"/>
    <mergeCell ref="AF24"/>
    <mergeCell ref="AG24"/>
    <mergeCell ref="AH25"/>
    <mergeCell ref="AI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O26"/>
    <mergeCell ref="P26"/>
    <mergeCell ref="Q26"/>
    <mergeCell ref="AC25"/>
    <mergeCell ref="AD25"/>
    <mergeCell ref="AE25"/>
    <mergeCell ref="AF25"/>
    <mergeCell ref="AG25"/>
    <mergeCell ref="X25"/>
    <mergeCell ref="Y25"/>
    <mergeCell ref="Z25"/>
    <mergeCell ref="AA25"/>
    <mergeCell ref="AB25"/>
    <mergeCell ref="S25"/>
    <mergeCell ref="T25"/>
    <mergeCell ref="U25"/>
    <mergeCell ref="V25"/>
    <mergeCell ref="W25"/>
    <mergeCell ref="N25"/>
    <mergeCell ref="AG26"/>
    <mergeCell ref="AH26"/>
    <mergeCell ref="AI26"/>
    <mergeCell ref="C27:D27"/>
    <mergeCell ref="E27"/>
    <mergeCell ref="F27"/>
    <mergeCell ref="G27"/>
    <mergeCell ref="H27"/>
    <mergeCell ref="I27"/>
    <mergeCell ref="J27"/>
    <mergeCell ref="K27"/>
    <mergeCell ref="L27"/>
    <mergeCell ref="M27"/>
    <mergeCell ref="N27"/>
    <mergeCell ref="O27"/>
    <mergeCell ref="P27"/>
    <mergeCell ref="AB26"/>
    <mergeCell ref="AC26"/>
    <mergeCell ref="AD26"/>
    <mergeCell ref="AE26"/>
    <mergeCell ref="AF26"/>
    <mergeCell ref="W26"/>
    <mergeCell ref="X26"/>
    <mergeCell ref="Y26"/>
    <mergeCell ref="Z26"/>
    <mergeCell ref="AA26"/>
    <mergeCell ref="R26"/>
    <mergeCell ref="S26"/>
    <mergeCell ref="T26"/>
    <mergeCell ref="U26"/>
    <mergeCell ref="V26"/>
    <mergeCell ref="AF27"/>
    <mergeCell ref="AG27"/>
    <mergeCell ref="AH27"/>
    <mergeCell ref="AI27"/>
    <mergeCell ref="C28:D28"/>
    <mergeCell ref="E28"/>
    <mergeCell ref="F28"/>
    <mergeCell ref="G28"/>
    <mergeCell ref="H28"/>
    <mergeCell ref="I28"/>
    <mergeCell ref="J28"/>
    <mergeCell ref="K28"/>
    <mergeCell ref="L28"/>
    <mergeCell ref="M28"/>
    <mergeCell ref="N28"/>
    <mergeCell ref="O28"/>
    <mergeCell ref="AA27"/>
    <mergeCell ref="AB27"/>
    <mergeCell ref="AC27"/>
    <mergeCell ref="AD27"/>
    <mergeCell ref="AE27"/>
    <mergeCell ref="V27"/>
    <mergeCell ref="W27"/>
    <mergeCell ref="X27"/>
    <mergeCell ref="Y27"/>
    <mergeCell ref="Z27"/>
    <mergeCell ref="Q27"/>
    <mergeCell ref="R27"/>
    <mergeCell ref="S27"/>
    <mergeCell ref="T27"/>
    <mergeCell ref="U27"/>
    <mergeCell ref="AH28"/>
    <mergeCell ref="AI28"/>
    <mergeCell ref="Z28"/>
    <mergeCell ref="AA28"/>
    <mergeCell ref="AB28"/>
    <mergeCell ref="AC28"/>
    <mergeCell ref="AD28"/>
    <mergeCell ref="U28"/>
    <mergeCell ref="V28"/>
    <mergeCell ref="W28"/>
    <mergeCell ref="X28"/>
    <mergeCell ref="Y28"/>
    <mergeCell ref="P28"/>
    <mergeCell ref="Q28"/>
    <mergeCell ref="R28"/>
    <mergeCell ref="S28"/>
    <mergeCell ref="T28"/>
    <mergeCell ref="O29"/>
    <mergeCell ref="P29"/>
    <mergeCell ref="Q29"/>
    <mergeCell ref="R29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AE28"/>
    <mergeCell ref="AF28"/>
    <mergeCell ref="AG28"/>
    <mergeCell ref="AH29"/>
    <mergeCell ref="AI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O30"/>
    <mergeCell ref="P30"/>
    <mergeCell ref="Q30"/>
    <mergeCell ref="AC29"/>
    <mergeCell ref="AD29"/>
    <mergeCell ref="AE29"/>
    <mergeCell ref="AF29"/>
    <mergeCell ref="AG29"/>
    <mergeCell ref="X29"/>
    <mergeCell ref="Y29"/>
    <mergeCell ref="Z29"/>
    <mergeCell ref="AA29"/>
    <mergeCell ref="AB29"/>
    <mergeCell ref="S29"/>
    <mergeCell ref="T29"/>
    <mergeCell ref="U29"/>
    <mergeCell ref="V29"/>
    <mergeCell ref="W29"/>
    <mergeCell ref="N29"/>
    <mergeCell ref="AG30"/>
    <mergeCell ref="AH30"/>
    <mergeCell ref="AI30"/>
    <mergeCell ref="C31:D31"/>
    <mergeCell ref="E31"/>
    <mergeCell ref="F31"/>
    <mergeCell ref="G31"/>
    <mergeCell ref="H31"/>
    <mergeCell ref="I31"/>
    <mergeCell ref="J31"/>
    <mergeCell ref="K31"/>
    <mergeCell ref="L31"/>
    <mergeCell ref="M31"/>
    <mergeCell ref="N31"/>
    <mergeCell ref="O31"/>
    <mergeCell ref="P31"/>
    <mergeCell ref="AB30"/>
    <mergeCell ref="AC30"/>
    <mergeCell ref="AD30"/>
    <mergeCell ref="AE30"/>
    <mergeCell ref="AF30"/>
    <mergeCell ref="W30"/>
    <mergeCell ref="X30"/>
    <mergeCell ref="Y30"/>
    <mergeCell ref="Z30"/>
    <mergeCell ref="AA30"/>
    <mergeCell ref="R30"/>
    <mergeCell ref="S30"/>
    <mergeCell ref="T30"/>
    <mergeCell ref="U30"/>
    <mergeCell ref="V30"/>
    <mergeCell ref="AF31"/>
    <mergeCell ref="AG31"/>
    <mergeCell ref="AH31"/>
    <mergeCell ref="AI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O32"/>
    <mergeCell ref="AA31"/>
    <mergeCell ref="AB31"/>
    <mergeCell ref="AC31"/>
    <mergeCell ref="AD31"/>
    <mergeCell ref="AE31"/>
    <mergeCell ref="V31"/>
    <mergeCell ref="W31"/>
    <mergeCell ref="X31"/>
    <mergeCell ref="Y31"/>
    <mergeCell ref="Z31"/>
    <mergeCell ref="Q31"/>
    <mergeCell ref="R31"/>
    <mergeCell ref="S31"/>
    <mergeCell ref="T31"/>
    <mergeCell ref="U31"/>
    <mergeCell ref="AH32"/>
    <mergeCell ref="AI32"/>
    <mergeCell ref="Z32"/>
    <mergeCell ref="AA32"/>
    <mergeCell ref="AB32"/>
    <mergeCell ref="AC32"/>
    <mergeCell ref="AD32"/>
    <mergeCell ref="U32"/>
    <mergeCell ref="V32"/>
    <mergeCell ref="W32"/>
    <mergeCell ref="X32"/>
    <mergeCell ref="Y32"/>
    <mergeCell ref="P32"/>
    <mergeCell ref="Q32"/>
    <mergeCell ref="R32"/>
    <mergeCell ref="S32"/>
    <mergeCell ref="T32"/>
    <mergeCell ref="O33"/>
    <mergeCell ref="P33"/>
    <mergeCell ref="Q33"/>
    <mergeCell ref="R33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AE32"/>
    <mergeCell ref="AF32"/>
    <mergeCell ref="AG32"/>
    <mergeCell ref="AH33"/>
    <mergeCell ref="AI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O34"/>
    <mergeCell ref="P34"/>
    <mergeCell ref="Q34"/>
    <mergeCell ref="AC33"/>
    <mergeCell ref="AD33"/>
    <mergeCell ref="AE33"/>
    <mergeCell ref="AF33"/>
    <mergeCell ref="AG33"/>
    <mergeCell ref="X33"/>
    <mergeCell ref="Y33"/>
    <mergeCell ref="Z33"/>
    <mergeCell ref="AA33"/>
    <mergeCell ref="AB33"/>
    <mergeCell ref="S33"/>
    <mergeCell ref="T33"/>
    <mergeCell ref="U33"/>
    <mergeCell ref="V33"/>
    <mergeCell ref="W33"/>
    <mergeCell ref="N33"/>
    <mergeCell ref="AG34"/>
    <mergeCell ref="AH34"/>
    <mergeCell ref="AI34"/>
    <mergeCell ref="C35:D35"/>
    <mergeCell ref="E35"/>
    <mergeCell ref="F35"/>
    <mergeCell ref="G35"/>
    <mergeCell ref="H35"/>
    <mergeCell ref="I35"/>
    <mergeCell ref="J35"/>
    <mergeCell ref="K35"/>
    <mergeCell ref="L35"/>
    <mergeCell ref="M35"/>
    <mergeCell ref="N35"/>
    <mergeCell ref="O35"/>
    <mergeCell ref="P35"/>
    <mergeCell ref="AB34"/>
    <mergeCell ref="AC34"/>
    <mergeCell ref="AD34"/>
    <mergeCell ref="AE34"/>
    <mergeCell ref="AF34"/>
    <mergeCell ref="W34"/>
    <mergeCell ref="X34"/>
    <mergeCell ref="Y34"/>
    <mergeCell ref="Z34"/>
    <mergeCell ref="AA34"/>
    <mergeCell ref="R34"/>
    <mergeCell ref="S34"/>
    <mergeCell ref="T34"/>
    <mergeCell ref="U34"/>
    <mergeCell ref="V34"/>
    <mergeCell ref="AF35"/>
    <mergeCell ref="AG35"/>
    <mergeCell ref="AH35"/>
    <mergeCell ref="AI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O36"/>
    <mergeCell ref="AA35"/>
    <mergeCell ref="AB35"/>
    <mergeCell ref="AC35"/>
    <mergeCell ref="AD35"/>
    <mergeCell ref="AE35"/>
    <mergeCell ref="V35"/>
    <mergeCell ref="W35"/>
    <mergeCell ref="X35"/>
    <mergeCell ref="Y35"/>
    <mergeCell ref="Z35"/>
    <mergeCell ref="Q35"/>
    <mergeCell ref="R35"/>
    <mergeCell ref="S35"/>
    <mergeCell ref="T35"/>
    <mergeCell ref="U35"/>
    <mergeCell ref="AH36"/>
    <mergeCell ref="AI36"/>
    <mergeCell ref="Z36"/>
    <mergeCell ref="AA36"/>
    <mergeCell ref="AB36"/>
    <mergeCell ref="AC36"/>
    <mergeCell ref="AD36"/>
    <mergeCell ref="U36"/>
    <mergeCell ref="V36"/>
    <mergeCell ref="W36"/>
    <mergeCell ref="X36"/>
    <mergeCell ref="Y36"/>
    <mergeCell ref="P36"/>
    <mergeCell ref="Q36"/>
    <mergeCell ref="R36"/>
    <mergeCell ref="S36"/>
    <mergeCell ref="T36"/>
    <mergeCell ref="O37"/>
    <mergeCell ref="P37"/>
    <mergeCell ref="Q37"/>
    <mergeCell ref="R37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AE36"/>
    <mergeCell ref="AF36"/>
    <mergeCell ref="AG36"/>
    <mergeCell ref="AH37"/>
    <mergeCell ref="AI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O38"/>
    <mergeCell ref="P38"/>
    <mergeCell ref="Q38"/>
    <mergeCell ref="AC37"/>
    <mergeCell ref="AD37"/>
    <mergeCell ref="AE37"/>
    <mergeCell ref="AF37"/>
    <mergeCell ref="AG37"/>
    <mergeCell ref="X37"/>
    <mergeCell ref="Y37"/>
    <mergeCell ref="Z37"/>
    <mergeCell ref="AA37"/>
    <mergeCell ref="AB37"/>
    <mergeCell ref="S37"/>
    <mergeCell ref="T37"/>
    <mergeCell ref="U37"/>
    <mergeCell ref="V37"/>
    <mergeCell ref="W37"/>
    <mergeCell ref="N37"/>
    <mergeCell ref="AG38"/>
    <mergeCell ref="AH38"/>
    <mergeCell ref="AI38"/>
    <mergeCell ref="C39:D39"/>
    <mergeCell ref="E39"/>
    <mergeCell ref="F39"/>
    <mergeCell ref="G39"/>
    <mergeCell ref="H39"/>
    <mergeCell ref="I39"/>
    <mergeCell ref="J39"/>
    <mergeCell ref="K39"/>
    <mergeCell ref="L39"/>
    <mergeCell ref="M39"/>
    <mergeCell ref="N39"/>
    <mergeCell ref="O39"/>
    <mergeCell ref="P39"/>
    <mergeCell ref="AB38"/>
    <mergeCell ref="AC38"/>
    <mergeCell ref="AD38"/>
    <mergeCell ref="AE38"/>
    <mergeCell ref="AF38"/>
    <mergeCell ref="W38"/>
    <mergeCell ref="X38"/>
    <mergeCell ref="Y38"/>
    <mergeCell ref="Z38"/>
    <mergeCell ref="AA38"/>
    <mergeCell ref="R38"/>
    <mergeCell ref="S38"/>
    <mergeCell ref="T38"/>
    <mergeCell ref="U38"/>
    <mergeCell ref="V38"/>
    <mergeCell ref="AF39"/>
    <mergeCell ref="AG39"/>
    <mergeCell ref="AH39"/>
    <mergeCell ref="AI39"/>
    <mergeCell ref="C40:D40"/>
    <mergeCell ref="E40"/>
    <mergeCell ref="F40"/>
    <mergeCell ref="G40"/>
    <mergeCell ref="H40"/>
    <mergeCell ref="I40"/>
    <mergeCell ref="J40"/>
    <mergeCell ref="K40"/>
    <mergeCell ref="L40"/>
    <mergeCell ref="M40"/>
    <mergeCell ref="N40"/>
    <mergeCell ref="O40"/>
    <mergeCell ref="AA39"/>
    <mergeCell ref="AB39"/>
    <mergeCell ref="AC39"/>
    <mergeCell ref="AD39"/>
    <mergeCell ref="AE39"/>
    <mergeCell ref="V39"/>
    <mergeCell ref="W39"/>
    <mergeCell ref="X39"/>
    <mergeCell ref="Y39"/>
    <mergeCell ref="Z39"/>
    <mergeCell ref="Q39"/>
    <mergeCell ref="R39"/>
    <mergeCell ref="S39"/>
    <mergeCell ref="T39"/>
    <mergeCell ref="U39"/>
    <mergeCell ref="AH40"/>
    <mergeCell ref="AI40"/>
    <mergeCell ref="Z40"/>
    <mergeCell ref="AA40"/>
    <mergeCell ref="AB40"/>
    <mergeCell ref="AC40"/>
    <mergeCell ref="AD40"/>
    <mergeCell ref="U40"/>
    <mergeCell ref="V40"/>
    <mergeCell ref="W40"/>
    <mergeCell ref="X40"/>
    <mergeCell ref="Y40"/>
    <mergeCell ref="P40"/>
    <mergeCell ref="Q40"/>
    <mergeCell ref="R40"/>
    <mergeCell ref="S40"/>
    <mergeCell ref="T40"/>
    <mergeCell ref="O41"/>
    <mergeCell ref="P41"/>
    <mergeCell ref="Q41"/>
    <mergeCell ref="R41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AE40"/>
    <mergeCell ref="AF40"/>
    <mergeCell ref="AG40"/>
    <mergeCell ref="AH41"/>
    <mergeCell ref="AI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O42"/>
    <mergeCell ref="P42"/>
    <mergeCell ref="Q42"/>
    <mergeCell ref="AC41"/>
    <mergeCell ref="AD41"/>
    <mergeCell ref="AE41"/>
    <mergeCell ref="AF41"/>
    <mergeCell ref="AG41"/>
    <mergeCell ref="X41"/>
    <mergeCell ref="Y41"/>
    <mergeCell ref="Z41"/>
    <mergeCell ref="AA41"/>
    <mergeCell ref="AB41"/>
    <mergeCell ref="S41"/>
    <mergeCell ref="T41"/>
    <mergeCell ref="U41"/>
    <mergeCell ref="V41"/>
    <mergeCell ref="W41"/>
    <mergeCell ref="N41"/>
    <mergeCell ref="AG42"/>
    <mergeCell ref="AH42"/>
    <mergeCell ref="AI42"/>
    <mergeCell ref="C43:D43"/>
    <mergeCell ref="E43"/>
    <mergeCell ref="F43"/>
    <mergeCell ref="G43"/>
    <mergeCell ref="H43"/>
    <mergeCell ref="I43"/>
    <mergeCell ref="J43"/>
    <mergeCell ref="K43"/>
    <mergeCell ref="L43"/>
    <mergeCell ref="M43"/>
    <mergeCell ref="N43"/>
    <mergeCell ref="O43"/>
    <mergeCell ref="P43"/>
    <mergeCell ref="AB42"/>
    <mergeCell ref="AC42"/>
    <mergeCell ref="AD42"/>
    <mergeCell ref="AE42"/>
    <mergeCell ref="AF42"/>
    <mergeCell ref="W42"/>
    <mergeCell ref="X42"/>
    <mergeCell ref="Y42"/>
    <mergeCell ref="Z42"/>
    <mergeCell ref="AA42"/>
    <mergeCell ref="R42"/>
    <mergeCell ref="S42"/>
    <mergeCell ref="T42"/>
    <mergeCell ref="U42"/>
    <mergeCell ref="V42"/>
    <mergeCell ref="AF43"/>
    <mergeCell ref="AG43"/>
    <mergeCell ref="AH43"/>
    <mergeCell ref="AI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O44"/>
    <mergeCell ref="AA43"/>
    <mergeCell ref="AB43"/>
    <mergeCell ref="AC43"/>
    <mergeCell ref="AD43"/>
    <mergeCell ref="AE43"/>
    <mergeCell ref="V43"/>
    <mergeCell ref="W43"/>
    <mergeCell ref="X43"/>
    <mergeCell ref="Y43"/>
    <mergeCell ref="Z43"/>
    <mergeCell ref="Q43"/>
    <mergeCell ref="R43"/>
    <mergeCell ref="S43"/>
    <mergeCell ref="T43"/>
    <mergeCell ref="U43"/>
    <mergeCell ref="AH44"/>
    <mergeCell ref="AI44"/>
    <mergeCell ref="Z44"/>
    <mergeCell ref="AA44"/>
    <mergeCell ref="AB44"/>
    <mergeCell ref="AC44"/>
    <mergeCell ref="AD44"/>
    <mergeCell ref="U44"/>
    <mergeCell ref="V44"/>
    <mergeCell ref="W44"/>
    <mergeCell ref="X44"/>
    <mergeCell ref="Y44"/>
    <mergeCell ref="P44"/>
    <mergeCell ref="Q44"/>
    <mergeCell ref="R44"/>
    <mergeCell ref="S44"/>
    <mergeCell ref="T44"/>
    <mergeCell ref="O45"/>
    <mergeCell ref="P45"/>
    <mergeCell ref="Q45"/>
    <mergeCell ref="R45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AE44"/>
    <mergeCell ref="AF44"/>
    <mergeCell ref="AG44"/>
    <mergeCell ref="AH45"/>
    <mergeCell ref="AI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O46"/>
    <mergeCell ref="P46"/>
    <mergeCell ref="Q46"/>
    <mergeCell ref="AC45"/>
    <mergeCell ref="AD45"/>
    <mergeCell ref="AE45"/>
    <mergeCell ref="AF45"/>
    <mergeCell ref="AG45"/>
    <mergeCell ref="X45"/>
    <mergeCell ref="Y45"/>
    <mergeCell ref="Z45"/>
    <mergeCell ref="AA45"/>
    <mergeCell ref="AB45"/>
    <mergeCell ref="S45"/>
    <mergeCell ref="T45"/>
    <mergeCell ref="U45"/>
    <mergeCell ref="V45"/>
    <mergeCell ref="W45"/>
    <mergeCell ref="N45"/>
    <mergeCell ref="AG46"/>
    <mergeCell ref="AH46"/>
    <mergeCell ref="AI46"/>
    <mergeCell ref="C47:D47"/>
    <mergeCell ref="E47"/>
    <mergeCell ref="F47"/>
    <mergeCell ref="G47"/>
    <mergeCell ref="H47"/>
    <mergeCell ref="I47"/>
    <mergeCell ref="J47"/>
    <mergeCell ref="K47"/>
    <mergeCell ref="L47"/>
    <mergeCell ref="M47"/>
    <mergeCell ref="N47"/>
    <mergeCell ref="O47"/>
    <mergeCell ref="P47"/>
    <mergeCell ref="AB46"/>
    <mergeCell ref="AC46"/>
    <mergeCell ref="AD46"/>
    <mergeCell ref="AE46"/>
    <mergeCell ref="AF46"/>
    <mergeCell ref="W46"/>
    <mergeCell ref="X46"/>
    <mergeCell ref="Y46"/>
    <mergeCell ref="Z46"/>
    <mergeCell ref="AA46"/>
    <mergeCell ref="R46"/>
    <mergeCell ref="S46"/>
    <mergeCell ref="T46"/>
    <mergeCell ref="U46"/>
    <mergeCell ref="V46"/>
    <mergeCell ref="AF47"/>
    <mergeCell ref="AG47"/>
    <mergeCell ref="AH47"/>
    <mergeCell ref="AI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O48"/>
    <mergeCell ref="AA47"/>
    <mergeCell ref="AB47"/>
    <mergeCell ref="AC47"/>
    <mergeCell ref="AD47"/>
    <mergeCell ref="AE47"/>
    <mergeCell ref="V47"/>
    <mergeCell ref="W47"/>
    <mergeCell ref="X47"/>
    <mergeCell ref="Y47"/>
    <mergeCell ref="Z47"/>
    <mergeCell ref="Q47"/>
    <mergeCell ref="R47"/>
    <mergeCell ref="S47"/>
    <mergeCell ref="T47"/>
    <mergeCell ref="U47"/>
    <mergeCell ref="AH48"/>
    <mergeCell ref="AI48"/>
    <mergeCell ref="Z48"/>
    <mergeCell ref="AA48"/>
    <mergeCell ref="AB48"/>
    <mergeCell ref="AC48"/>
    <mergeCell ref="AD48"/>
    <mergeCell ref="U48"/>
    <mergeCell ref="V48"/>
    <mergeCell ref="W48"/>
    <mergeCell ref="X48"/>
    <mergeCell ref="Y48"/>
    <mergeCell ref="P48"/>
    <mergeCell ref="Q48"/>
    <mergeCell ref="R48"/>
    <mergeCell ref="S48"/>
    <mergeCell ref="T48"/>
    <mergeCell ref="O49"/>
    <mergeCell ref="P49"/>
    <mergeCell ref="Q49"/>
    <mergeCell ref="R49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AE48"/>
    <mergeCell ref="AF48"/>
    <mergeCell ref="AG48"/>
    <mergeCell ref="AH49"/>
    <mergeCell ref="AI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O50"/>
    <mergeCell ref="P50"/>
    <mergeCell ref="Q50"/>
    <mergeCell ref="AC49"/>
    <mergeCell ref="AD49"/>
    <mergeCell ref="AE49"/>
    <mergeCell ref="AF49"/>
    <mergeCell ref="AG49"/>
    <mergeCell ref="X49"/>
    <mergeCell ref="Y49"/>
    <mergeCell ref="Z49"/>
    <mergeCell ref="AA49"/>
    <mergeCell ref="AB49"/>
    <mergeCell ref="S49"/>
    <mergeCell ref="T49"/>
    <mergeCell ref="U49"/>
    <mergeCell ref="V49"/>
    <mergeCell ref="W49"/>
    <mergeCell ref="N49"/>
    <mergeCell ref="AG50"/>
    <mergeCell ref="AH50"/>
    <mergeCell ref="AI50"/>
    <mergeCell ref="C51:D51"/>
    <mergeCell ref="E51"/>
    <mergeCell ref="F51"/>
    <mergeCell ref="G51"/>
    <mergeCell ref="H51"/>
    <mergeCell ref="I51"/>
    <mergeCell ref="J51"/>
    <mergeCell ref="K51"/>
    <mergeCell ref="L51"/>
    <mergeCell ref="M51"/>
    <mergeCell ref="N51"/>
    <mergeCell ref="O51"/>
    <mergeCell ref="P51"/>
    <mergeCell ref="AB50"/>
    <mergeCell ref="AC50"/>
    <mergeCell ref="AD50"/>
    <mergeCell ref="AE50"/>
    <mergeCell ref="AF50"/>
    <mergeCell ref="W50"/>
    <mergeCell ref="X50"/>
    <mergeCell ref="Y50"/>
    <mergeCell ref="Z50"/>
    <mergeCell ref="AA50"/>
    <mergeCell ref="R50"/>
    <mergeCell ref="S50"/>
    <mergeCell ref="T50"/>
    <mergeCell ref="U50"/>
    <mergeCell ref="V50"/>
    <mergeCell ref="AF51"/>
    <mergeCell ref="AG51"/>
    <mergeCell ref="AH51"/>
    <mergeCell ref="AI51"/>
    <mergeCell ref="C52:D52"/>
    <mergeCell ref="E52"/>
    <mergeCell ref="F52"/>
    <mergeCell ref="G52"/>
    <mergeCell ref="H52"/>
    <mergeCell ref="I52"/>
    <mergeCell ref="J52"/>
    <mergeCell ref="K52"/>
    <mergeCell ref="L52"/>
    <mergeCell ref="M52"/>
    <mergeCell ref="N52"/>
    <mergeCell ref="O52"/>
    <mergeCell ref="AA51"/>
    <mergeCell ref="AB51"/>
    <mergeCell ref="AC51"/>
    <mergeCell ref="AD51"/>
    <mergeCell ref="AE51"/>
    <mergeCell ref="V51"/>
    <mergeCell ref="W51"/>
    <mergeCell ref="X51"/>
    <mergeCell ref="Y51"/>
    <mergeCell ref="Z51"/>
    <mergeCell ref="Q51"/>
    <mergeCell ref="R51"/>
    <mergeCell ref="S51"/>
    <mergeCell ref="T51"/>
    <mergeCell ref="U51"/>
    <mergeCell ref="AH52"/>
    <mergeCell ref="AI52"/>
    <mergeCell ref="Z52"/>
    <mergeCell ref="AA52"/>
    <mergeCell ref="AB52"/>
    <mergeCell ref="AC52"/>
    <mergeCell ref="AD52"/>
    <mergeCell ref="U52"/>
    <mergeCell ref="V52"/>
    <mergeCell ref="W52"/>
    <mergeCell ref="X52"/>
    <mergeCell ref="Y52"/>
    <mergeCell ref="P52"/>
    <mergeCell ref="Q52"/>
    <mergeCell ref="R52"/>
    <mergeCell ref="S52"/>
    <mergeCell ref="T52"/>
    <mergeCell ref="O53"/>
    <mergeCell ref="P53"/>
    <mergeCell ref="Q53"/>
    <mergeCell ref="R53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AE52"/>
    <mergeCell ref="AF52"/>
    <mergeCell ref="AG52"/>
    <mergeCell ref="AH53"/>
    <mergeCell ref="AI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O54"/>
    <mergeCell ref="P54"/>
    <mergeCell ref="Q54"/>
    <mergeCell ref="AC53"/>
    <mergeCell ref="AD53"/>
    <mergeCell ref="AE53"/>
    <mergeCell ref="AF53"/>
    <mergeCell ref="AG53"/>
    <mergeCell ref="X53"/>
    <mergeCell ref="Y53"/>
    <mergeCell ref="Z53"/>
    <mergeCell ref="AA53"/>
    <mergeCell ref="AB53"/>
    <mergeCell ref="S53"/>
    <mergeCell ref="T53"/>
    <mergeCell ref="U53"/>
    <mergeCell ref="V53"/>
    <mergeCell ref="W53"/>
    <mergeCell ref="N53"/>
    <mergeCell ref="AG54"/>
    <mergeCell ref="AH54"/>
    <mergeCell ref="AI54"/>
    <mergeCell ref="C55:D55"/>
    <mergeCell ref="E55"/>
    <mergeCell ref="F55"/>
    <mergeCell ref="G55"/>
    <mergeCell ref="H55"/>
    <mergeCell ref="I55"/>
    <mergeCell ref="J55"/>
    <mergeCell ref="K55"/>
    <mergeCell ref="L55"/>
    <mergeCell ref="M55"/>
    <mergeCell ref="N55"/>
    <mergeCell ref="O55"/>
    <mergeCell ref="P55"/>
    <mergeCell ref="AB54"/>
    <mergeCell ref="AC54"/>
    <mergeCell ref="AD54"/>
    <mergeCell ref="AE54"/>
    <mergeCell ref="AF54"/>
    <mergeCell ref="W54"/>
    <mergeCell ref="X54"/>
    <mergeCell ref="Y54"/>
    <mergeCell ref="Z54"/>
    <mergeCell ref="AA54"/>
    <mergeCell ref="R54"/>
    <mergeCell ref="S54"/>
    <mergeCell ref="T54"/>
    <mergeCell ref="U54"/>
    <mergeCell ref="V54"/>
    <mergeCell ref="AF55"/>
    <mergeCell ref="AG55"/>
    <mergeCell ref="AH55"/>
    <mergeCell ref="AI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O56"/>
    <mergeCell ref="AA55"/>
    <mergeCell ref="AB55"/>
    <mergeCell ref="AC55"/>
    <mergeCell ref="AD55"/>
    <mergeCell ref="AE55"/>
    <mergeCell ref="V55"/>
    <mergeCell ref="W55"/>
    <mergeCell ref="X55"/>
    <mergeCell ref="Y55"/>
    <mergeCell ref="Z55"/>
    <mergeCell ref="Q55"/>
    <mergeCell ref="R55"/>
    <mergeCell ref="S55"/>
    <mergeCell ref="T55"/>
    <mergeCell ref="U55"/>
    <mergeCell ref="AH56"/>
    <mergeCell ref="AI56"/>
    <mergeCell ref="Z56"/>
    <mergeCell ref="AA56"/>
    <mergeCell ref="AB56"/>
    <mergeCell ref="AC56"/>
    <mergeCell ref="AD56"/>
    <mergeCell ref="U56"/>
    <mergeCell ref="V56"/>
    <mergeCell ref="W56"/>
    <mergeCell ref="X56"/>
    <mergeCell ref="Y56"/>
    <mergeCell ref="P56"/>
    <mergeCell ref="Q56"/>
    <mergeCell ref="R56"/>
    <mergeCell ref="S56"/>
    <mergeCell ref="T56"/>
    <mergeCell ref="O57"/>
    <mergeCell ref="P57"/>
    <mergeCell ref="Q57"/>
    <mergeCell ref="R57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AE56"/>
    <mergeCell ref="AF56"/>
    <mergeCell ref="AG56"/>
    <mergeCell ref="AH57"/>
    <mergeCell ref="AI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O58"/>
    <mergeCell ref="P58"/>
    <mergeCell ref="Q58"/>
    <mergeCell ref="AC57"/>
    <mergeCell ref="AD57"/>
    <mergeCell ref="AE57"/>
    <mergeCell ref="AF57"/>
    <mergeCell ref="AG57"/>
    <mergeCell ref="X57"/>
    <mergeCell ref="Y57"/>
    <mergeCell ref="Z57"/>
    <mergeCell ref="AA57"/>
    <mergeCell ref="AB57"/>
    <mergeCell ref="S57"/>
    <mergeCell ref="T57"/>
    <mergeCell ref="U57"/>
    <mergeCell ref="V57"/>
    <mergeCell ref="W57"/>
    <mergeCell ref="N57"/>
    <mergeCell ref="AG58"/>
    <mergeCell ref="AH58"/>
    <mergeCell ref="AI58"/>
    <mergeCell ref="C59:D59"/>
    <mergeCell ref="E59"/>
    <mergeCell ref="F59"/>
    <mergeCell ref="G59"/>
    <mergeCell ref="H59"/>
    <mergeCell ref="I59"/>
    <mergeCell ref="J59"/>
    <mergeCell ref="K59"/>
    <mergeCell ref="L59"/>
    <mergeCell ref="M59"/>
    <mergeCell ref="N59"/>
    <mergeCell ref="O59"/>
    <mergeCell ref="P59"/>
    <mergeCell ref="AB58"/>
    <mergeCell ref="AC58"/>
    <mergeCell ref="AD58"/>
    <mergeCell ref="AE58"/>
    <mergeCell ref="AF58"/>
    <mergeCell ref="W58"/>
    <mergeCell ref="X58"/>
    <mergeCell ref="Y58"/>
    <mergeCell ref="Z58"/>
    <mergeCell ref="AA58"/>
    <mergeCell ref="R58"/>
    <mergeCell ref="S58"/>
    <mergeCell ref="T58"/>
    <mergeCell ref="U58"/>
    <mergeCell ref="V58"/>
    <mergeCell ref="AF59"/>
    <mergeCell ref="AG59"/>
    <mergeCell ref="AH59"/>
    <mergeCell ref="AI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O60"/>
    <mergeCell ref="AA59"/>
    <mergeCell ref="AB59"/>
    <mergeCell ref="AC59"/>
    <mergeCell ref="AD59"/>
    <mergeCell ref="AE59"/>
    <mergeCell ref="V59"/>
    <mergeCell ref="W59"/>
    <mergeCell ref="X59"/>
    <mergeCell ref="Y59"/>
    <mergeCell ref="Z59"/>
    <mergeCell ref="Q59"/>
    <mergeCell ref="R59"/>
    <mergeCell ref="S59"/>
    <mergeCell ref="T59"/>
    <mergeCell ref="U59"/>
    <mergeCell ref="AH60"/>
    <mergeCell ref="AI60"/>
    <mergeCell ref="Z60"/>
    <mergeCell ref="AA60"/>
    <mergeCell ref="AB60"/>
    <mergeCell ref="AC60"/>
    <mergeCell ref="AD60"/>
    <mergeCell ref="U60"/>
    <mergeCell ref="V60"/>
    <mergeCell ref="W60"/>
    <mergeCell ref="X60"/>
    <mergeCell ref="Y60"/>
    <mergeCell ref="P60"/>
    <mergeCell ref="Q60"/>
    <mergeCell ref="R60"/>
    <mergeCell ref="S60"/>
    <mergeCell ref="T60"/>
    <mergeCell ref="O61"/>
    <mergeCell ref="P61"/>
    <mergeCell ref="Q61"/>
    <mergeCell ref="R61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AE60"/>
    <mergeCell ref="AF60"/>
    <mergeCell ref="AG60"/>
    <mergeCell ref="AH61"/>
    <mergeCell ref="AI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O62"/>
    <mergeCell ref="P62"/>
    <mergeCell ref="Q62"/>
    <mergeCell ref="AC61"/>
    <mergeCell ref="AD61"/>
    <mergeCell ref="AE61"/>
    <mergeCell ref="AF61"/>
    <mergeCell ref="AG61"/>
    <mergeCell ref="X61"/>
    <mergeCell ref="Y61"/>
    <mergeCell ref="Z61"/>
    <mergeCell ref="AA61"/>
    <mergeCell ref="AB61"/>
    <mergeCell ref="S61"/>
    <mergeCell ref="T61"/>
    <mergeCell ref="U61"/>
    <mergeCell ref="V61"/>
    <mergeCell ref="W61"/>
    <mergeCell ref="N61"/>
    <mergeCell ref="AG62"/>
    <mergeCell ref="AH62"/>
    <mergeCell ref="AI62"/>
    <mergeCell ref="C63:D63"/>
    <mergeCell ref="E63"/>
    <mergeCell ref="F63"/>
    <mergeCell ref="G63"/>
    <mergeCell ref="H63"/>
    <mergeCell ref="I63"/>
    <mergeCell ref="J63"/>
    <mergeCell ref="K63"/>
    <mergeCell ref="L63"/>
    <mergeCell ref="M63"/>
    <mergeCell ref="N63"/>
    <mergeCell ref="O63"/>
    <mergeCell ref="P63"/>
    <mergeCell ref="AB62"/>
    <mergeCell ref="AC62"/>
    <mergeCell ref="AD62"/>
    <mergeCell ref="AE62"/>
    <mergeCell ref="AF62"/>
    <mergeCell ref="W62"/>
    <mergeCell ref="X62"/>
    <mergeCell ref="Y62"/>
    <mergeCell ref="Z62"/>
    <mergeCell ref="AA62"/>
    <mergeCell ref="R62"/>
    <mergeCell ref="S62"/>
    <mergeCell ref="T62"/>
    <mergeCell ref="U62"/>
    <mergeCell ref="V62"/>
    <mergeCell ref="AF63"/>
    <mergeCell ref="AG63"/>
    <mergeCell ref="AH63"/>
    <mergeCell ref="AI63"/>
    <mergeCell ref="C64:D64"/>
    <mergeCell ref="E64"/>
    <mergeCell ref="F64"/>
    <mergeCell ref="G64"/>
    <mergeCell ref="H64"/>
    <mergeCell ref="I64"/>
    <mergeCell ref="J64"/>
    <mergeCell ref="K64"/>
    <mergeCell ref="L64"/>
    <mergeCell ref="M64"/>
    <mergeCell ref="N64"/>
    <mergeCell ref="O64"/>
    <mergeCell ref="AA63"/>
    <mergeCell ref="AB63"/>
    <mergeCell ref="AC63"/>
    <mergeCell ref="AD63"/>
    <mergeCell ref="AE63"/>
    <mergeCell ref="V63"/>
    <mergeCell ref="W63"/>
    <mergeCell ref="X63"/>
    <mergeCell ref="Y63"/>
    <mergeCell ref="Z63"/>
    <mergeCell ref="Q63"/>
    <mergeCell ref="R63"/>
    <mergeCell ref="S63"/>
    <mergeCell ref="T63"/>
    <mergeCell ref="U63"/>
    <mergeCell ref="AH64"/>
    <mergeCell ref="AI64"/>
    <mergeCell ref="Z64"/>
    <mergeCell ref="AA64"/>
    <mergeCell ref="AB64"/>
    <mergeCell ref="AC64"/>
    <mergeCell ref="AD64"/>
    <mergeCell ref="U64"/>
    <mergeCell ref="V64"/>
    <mergeCell ref="W64"/>
    <mergeCell ref="X64"/>
    <mergeCell ref="Y64"/>
    <mergeCell ref="P64"/>
    <mergeCell ref="Q64"/>
    <mergeCell ref="R64"/>
    <mergeCell ref="S64"/>
    <mergeCell ref="T64"/>
    <mergeCell ref="O65"/>
    <mergeCell ref="P65"/>
    <mergeCell ref="Q65"/>
    <mergeCell ref="R65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AE64"/>
    <mergeCell ref="AF64"/>
    <mergeCell ref="AG64"/>
    <mergeCell ref="AH65"/>
    <mergeCell ref="AI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O66"/>
    <mergeCell ref="P66"/>
    <mergeCell ref="Q66"/>
    <mergeCell ref="AC65"/>
    <mergeCell ref="AD65"/>
    <mergeCell ref="AE65"/>
    <mergeCell ref="AF65"/>
    <mergeCell ref="AG65"/>
    <mergeCell ref="X65"/>
    <mergeCell ref="Y65"/>
    <mergeCell ref="Z65"/>
    <mergeCell ref="AA65"/>
    <mergeCell ref="AB65"/>
    <mergeCell ref="S65"/>
    <mergeCell ref="T65"/>
    <mergeCell ref="U65"/>
    <mergeCell ref="V65"/>
    <mergeCell ref="W65"/>
    <mergeCell ref="N65"/>
    <mergeCell ref="AG66"/>
    <mergeCell ref="AH66"/>
    <mergeCell ref="AI66"/>
    <mergeCell ref="C67:D67"/>
    <mergeCell ref="E67"/>
    <mergeCell ref="F67"/>
    <mergeCell ref="G67"/>
    <mergeCell ref="H67"/>
    <mergeCell ref="I67"/>
    <mergeCell ref="J67"/>
    <mergeCell ref="K67"/>
    <mergeCell ref="L67"/>
    <mergeCell ref="M67"/>
    <mergeCell ref="N67"/>
    <mergeCell ref="O67"/>
    <mergeCell ref="P67"/>
    <mergeCell ref="AB66"/>
    <mergeCell ref="AC66"/>
    <mergeCell ref="AD66"/>
    <mergeCell ref="AE66"/>
    <mergeCell ref="AF66"/>
    <mergeCell ref="W66"/>
    <mergeCell ref="X66"/>
    <mergeCell ref="Y66"/>
    <mergeCell ref="Z66"/>
    <mergeCell ref="AA66"/>
    <mergeCell ref="R66"/>
    <mergeCell ref="S66"/>
    <mergeCell ref="T66"/>
    <mergeCell ref="U66"/>
    <mergeCell ref="V66"/>
    <mergeCell ref="AF67"/>
    <mergeCell ref="AG67"/>
    <mergeCell ref="AH67"/>
    <mergeCell ref="AI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O68"/>
    <mergeCell ref="AA67"/>
    <mergeCell ref="AB67"/>
    <mergeCell ref="AC67"/>
    <mergeCell ref="AD67"/>
    <mergeCell ref="AE67"/>
    <mergeCell ref="V67"/>
    <mergeCell ref="W67"/>
    <mergeCell ref="X67"/>
    <mergeCell ref="Y67"/>
    <mergeCell ref="Z67"/>
    <mergeCell ref="Q67"/>
    <mergeCell ref="R67"/>
    <mergeCell ref="S67"/>
    <mergeCell ref="T67"/>
    <mergeCell ref="U67"/>
    <mergeCell ref="AH68"/>
    <mergeCell ref="AI68"/>
    <mergeCell ref="Z68"/>
    <mergeCell ref="AA68"/>
    <mergeCell ref="AB68"/>
    <mergeCell ref="AC68"/>
    <mergeCell ref="AD68"/>
    <mergeCell ref="U68"/>
    <mergeCell ref="V68"/>
    <mergeCell ref="W68"/>
    <mergeCell ref="X68"/>
    <mergeCell ref="Y68"/>
    <mergeCell ref="P68"/>
    <mergeCell ref="Q68"/>
    <mergeCell ref="R68"/>
    <mergeCell ref="S68"/>
    <mergeCell ref="T68"/>
    <mergeCell ref="O69"/>
    <mergeCell ref="P69"/>
    <mergeCell ref="Q69"/>
    <mergeCell ref="R69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AE68"/>
    <mergeCell ref="AF68"/>
    <mergeCell ref="AG68"/>
    <mergeCell ref="AH69"/>
    <mergeCell ref="AI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O70"/>
    <mergeCell ref="P70"/>
    <mergeCell ref="Q70"/>
    <mergeCell ref="AC69"/>
    <mergeCell ref="AD69"/>
    <mergeCell ref="AE69"/>
    <mergeCell ref="AF69"/>
    <mergeCell ref="AG69"/>
    <mergeCell ref="X69"/>
    <mergeCell ref="Y69"/>
    <mergeCell ref="Z69"/>
    <mergeCell ref="AA69"/>
    <mergeCell ref="AB69"/>
    <mergeCell ref="S69"/>
    <mergeCell ref="T69"/>
    <mergeCell ref="U69"/>
    <mergeCell ref="V69"/>
    <mergeCell ref="W69"/>
    <mergeCell ref="N69"/>
    <mergeCell ref="AG70"/>
    <mergeCell ref="AH70"/>
    <mergeCell ref="AI70"/>
    <mergeCell ref="C71:D71"/>
    <mergeCell ref="E71"/>
    <mergeCell ref="F71"/>
    <mergeCell ref="G71"/>
    <mergeCell ref="H71"/>
    <mergeCell ref="I71"/>
    <mergeCell ref="J71"/>
    <mergeCell ref="K71"/>
    <mergeCell ref="L71"/>
    <mergeCell ref="M71"/>
    <mergeCell ref="N71"/>
    <mergeCell ref="O71"/>
    <mergeCell ref="P71"/>
    <mergeCell ref="AB70"/>
    <mergeCell ref="AC70"/>
    <mergeCell ref="AD70"/>
    <mergeCell ref="AE70"/>
    <mergeCell ref="AF70"/>
    <mergeCell ref="W70"/>
    <mergeCell ref="X70"/>
    <mergeCell ref="Y70"/>
    <mergeCell ref="Z70"/>
    <mergeCell ref="AA70"/>
    <mergeCell ref="R70"/>
    <mergeCell ref="S70"/>
    <mergeCell ref="T70"/>
    <mergeCell ref="U70"/>
    <mergeCell ref="V70"/>
    <mergeCell ref="AF71"/>
    <mergeCell ref="AG71"/>
    <mergeCell ref="AH71"/>
    <mergeCell ref="AI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O72"/>
    <mergeCell ref="AA71"/>
    <mergeCell ref="AB71"/>
    <mergeCell ref="AC71"/>
    <mergeCell ref="AD71"/>
    <mergeCell ref="AE71"/>
    <mergeCell ref="V71"/>
    <mergeCell ref="W71"/>
    <mergeCell ref="X71"/>
    <mergeCell ref="Y71"/>
    <mergeCell ref="Z71"/>
    <mergeCell ref="Q71"/>
    <mergeCell ref="R71"/>
    <mergeCell ref="S71"/>
    <mergeCell ref="T71"/>
    <mergeCell ref="U71"/>
    <mergeCell ref="AH72"/>
    <mergeCell ref="AI72"/>
    <mergeCell ref="Z72"/>
    <mergeCell ref="AA72"/>
    <mergeCell ref="AB72"/>
    <mergeCell ref="AC72"/>
    <mergeCell ref="AD72"/>
    <mergeCell ref="U72"/>
    <mergeCell ref="V72"/>
    <mergeCell ref="W72"/>
    <mergeCell ref="X72"/>
    <mergeCell ref="Y72"/>
    <mergeCell ref="P72"/>
    <mergeCell ref="Q72"/>
    <mergeCell ref="R72"/>
    <mergeCell ref="S72"/>
    <mergeCell ref="T72"/>
    <mergeCell ref="O73"/>
    <mergeCell ref="P73"/>
    <mergeCell ref="Q73"/>
    <mergeCell ref="R73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AE72"/>
    <mergeCell ref="AF72"/>
    <mergeCell ref="AG72"/>
    <mergeCell ref="AH73"/>
    <mergeCell ref="AI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O74"/>
    <mergeCell ref="P74"/>
    <mergeCell ref="Q74"/>
    <mergeCell ref="AC73"/>
    <mergeCell ref="AD73"/>
    <mergeCell ref="AE73"/>
    <mergeCell ref="AF73"/>
    <mergeCell ref="AG73"/>
    <mergeCell ref="X73"/>
    <mergeCell ref="Y73"/>
    <mergeCell ref="Z73"/>
    <mergeCell ref="AA73"/>
    <mergeCell ref="AB73"/>
    <mergeCell ref="S73"/>
    <mergeCell ref="T73"/>
    <mergeCell ref="U73"/>
    <mergeCell ref="V73"/>
    <mergeCell ref="W73"/>
    <mergeCell ref="N73"/>
    <mergeCell ref="AG74"/>
    <mergeCell ref="AH74"/>
    <mergeCell ref="AI74"/>
    <mergeCell ref="C75:D75"/>
    <mergeCell ref="E75"/>
    <mergeCell ref="F75"/>
    <mergeCell ref="G75"/>
    <mergeCell ref="H75"/>
    <mergeCell ref="I75"/>
    <mergeCell ref="J75"/>
    <mergeCell ref="K75"/>
    <mergeCell ref="L75"/>
    <mergeCell ref="M75"/>
    <mergeCell ref="N75"/>
    <mergeCell ref="O75"/>
    <mergeCell ref="P75"/>
    <mergeCell ref="AB74"/>
    <mergeCell ref="AC74"/>
    <mergeCell ref="AD74"/>
    <mergeCell ref="AE74"/>
    <mergeCell ref="AF74"/>
    <mergeCell ref="W74"/>
    <mergeCell ref="X74"/>
    <mergeCell ref="Y74"/>
    <mergeCell ref="Z74"/>
    <mergeCell ref="AA74"/>
    <mergeCell ref="R74"/>
    <mergeCell ref="S74"/>
    <mergeCell ref="T74"/>
    <mergeCell ref="U74"/>
    <mergeCell ref="V74"/>
    <mergeCell ref="AF75"/>
    <mergeCell ref="AG75"/>
    <mergeCell ref="AH75"/>
    <mergeCell ref="AI75"/>
    <mergeCell ref="C76:D76"/>
    <mergeCell ref="E76"/>
    <mergeCell ref="F76"/>
    <mergeCell ref="G76"/>
    <mergeCell ref="H76"/>
    <mergeCell ref="I76"/>
    <mergeCell ref="J76"/>
    <mergeCell ref="K76"/>
    <mergeCell ref="L76"/>
    <mergeCell ref="M76"/>
    <mergeCell ref="N76"/>
    <mergeCell ref="O76"/>
    <mergeCell ref="AA75"/>
    <mergeCell ref="AB75"/>
    <mergeCell ref="AC75"/>
    <mergeCell ref="AD75"/>
    <mergeCell ref="AE75"/>
    <mergeCell ref="V75"/>
    <mergeCell ref="W75"/>
    <mergeCell ref="X75"/>
    <mergeCell ref="Y75"/>
    <mergeCell ref="Z75"/>
    <mergeCell ref="Q75"/>
    <mergeCell ref="R75"/>
    <mergeCell ref="S75"/>
    <mergeCell ref="T75"/>
    <mergeCell ref="U75"/>
    <mergeCell ref="AH76"/>
    <mergeCell ref="AI76"/>
    <mergeCell ref="Z76"/>
    <mergeCell ref="AA76"/>
    <mergeCell ref="AB76"/>
    <mergeCell ref="AC76"/>
    <mergeCell ref="AD76"/>
    <mergeCell ref="U76"/>
    <mergeCell ref="V76"/>
    <mergeCell ref="W76"/>
    <mergeCell ref="X76"/>
    <mergeCell ref="Y76"/>
    <mergeCell ref="P76"/>
    <mergeCell ref="Q76"/>
    <mergeCell ref="R76"/>
    <mergeCell ref="S76"/>
    <mergeCell ref="T76"/>
    <mergeCell ref="O77"/>
    <mergeCell ref="P77"/>
    <mergeCell ref="Q77"/>
    <mergeCell ref="R77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AE76"/>
    <mergeCell ref="AF76"/>
    <mergeCell ref="AG76"/>
    <mergeCell ref="AH77"/>
    <mergeCell ref="AI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O78"/>
    <mergeCell ref="P78"/>
    <mergeCell ref="Q78"/>
    <mergeCell ref="AC77"/>
    <mergeCell ref="AD77"/>
    <mergeCell ref="AE77"/>
    <mergeCell ref="AF77"/>
    <mergeCell ref="AG77"/>
    <mergeCell ref="X77"/>
    <mergeCell ref="Y77"/>
    <mergeCell ref="Z77"/>
    <mergeCell ref="AA77"/>
    <mergeCell ref="AB77"/>
    <mergeCell ref="S77"/>
    <mergeCell ref="T77"/>
    <mergeCell ref="U77"/>
    <mergeCell ref="V77"/>
    <mergeCell ref="W77"/>
    <mergeCell ref="N77"/>
    <mergeCell ref="AG78"/>
    <mergeCell ref="AH78"/>
    <mergeCell ref="AI78"/>
    <mergeCell ref="C79:D79"/>
    <mergeCell ref="E79"/>
    <mergeCell ref="F79"/>
    <mergeCell ref="G79"/>
    <mergeCell ref="H79"/>
    <mergeCell ref="I79"/>
    <mergeCell ref="J79"/>
    <mergeCell ref="K79"/>
    <mergeCell ref="L79"/>
    <mergeCell ref="M79"/>
    <mergeCell ref="N79"/>
    <mergeCell ref="O79"/>
    <mergeCell ref="P79"/>
    <mergeCell ref="AB78"/>
    <mergeCell ref="AC78"/>
    <mergeCell ref="AD78"/>
    <mergeCell ref="AE78"/>
    <mergeCell ref="AF78"/>
    <mergeCell ref="W78"/>
    <mergeCell ref="X78"/>
    <mergeCell ref="Y78"/>
    <mergeCell ref="Z78"/>
    <mergeCell ref="AA78"/>
    <mergeCell ref="R78"/>
    <mergeCell ref="S78"/>
    <mergeCell ref="T78"/>
    <mergeCell ref="U78"/>
    <mergeCell ref="V78"/>
    <mergeCell ref="AF79"/>
    <mergeCell ref="AG79"/>
    <mergeCell ref="AH79"/>
    <mergeCell ref="AI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O80"/>
    <mergeCell ref="AA79"/>
    <mergeCell ref="AB79"/>
    <mergeCell ref="AC79"/>
    <mergeCell ref="AD79"/>
    <mergeCell ref="AE79"/>
    <mergeCell ref="V79"/>
    <mergeCell ref="W79"/>
    <mergeCell ref="X79"/>
    <mergeCell ref="Y79"/>
    <mergeCell ref="Z79"/>
    <mergeCell ref="Q79"/>
    <mergeCell ref="R79"/>
    <mergeCell ref="S79"/>
    <mergeCell ref="T79"/>
    <mergeCell ref="U79"/>
    <mergeCell ref="AH80"/>
    <mergeCell ref="AI80"/>
    <mergeCell ref="Z80"/>
    <mergeCell ref="AA80"/>
    <mergeCell ref="AB80"/>
    <mergeCell ref="AC80"/>
    <mergeCell ref="AD80"/>
    <mergeCell ref="U80"/>
    <mergeCell ref="V80"/>
    <mergeCell ref="W80"/>
    <mergeCell ref="X80"/>
    <mergeCell ref="Y80"/>
    <mergeCell ref="P80"/>
    <mergeCell ref="Q80"/>
    <mergeCell ref="R80"/>
    <mergeCell ref="S80"/>
    <mergeCell ref="T80"/>
    <mergeCell ref="O81"/>
    <mergeCell ref="P81"/>
    <mergeCell ref="Q81"/>
    <mergeCell ref="R81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AE80"/>
    <mergeCell ref="AF80"/>
    <mergeCell ref="AG80"/>
    <mergeCell ref="AH81"/>
    <mergeCell ref="AI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O82"/>
    <mergeCell ref="P82"/>
    <mergeCell ref="Q82"/>
    <mergeCell ref="AC81"/>
    <mergeCell ref="AD81"/>
    <mergeCell ref="AE81"/>
    <mergeCell ref="AF81"/>
    <mergeCell ref="AG81"/>
    <mergeCell ref="X81"/>
    <mergeCell ref="Y81"/>
    <mergeCell ref="Z81"/>
    <mergeCell ref="AA81"/>
    <mergeCell ref="AB81"/>
    <mergeCell ref="S81"/>
    <mergeCell ref="T81"/>
    <mergeCell ref="U81"/>
    <mergeCell ref="V81"/>
    <mergeCell ref="W81"/>
    <mergeCell ref="N81"/>
    <mergeCell ref="AG82"/>
    <mergeCell ref="AH82"/>
    <mergeCell ref="AI82"/>
    <mergeCell ref="C83:D83"/>
    <mergeCell ref="E83"/>
    <mergeCell ref="F83"/>
    <mergeCell ref="G83"/>
    <mergeCell ref="H83"/>
    <mergeCell ref="I83"/>
    <mergeCell ref="J83"/>
    <mergeCell ref="K83"/>
    <mergeCell ref="L83"/>
    <mergeCell ref="M83"/>
    <mergeCell ref="N83"/>
    <mergeCell ref="O83"/>
    <mergeCell ref="P83"/>
    <mergeCell ref="AB82"/>
    <mergeCell ref="AC82"/>
    <mergeCell ref="AD82"/>
    <mergeCell ref="AE82"/>
    <mergeCell ref="AF82"/>
    <mergeCell ref="W82"/>
    <mergeCell ref="X82"/>
    <mergeCell ref="Y82"/>
    <mergeCell ref="Z82"/>
    <mergeCell ref="AA82"/>
    <mergeCell ref="R82"/>
    <mergeCell ref="S82"/>
    <mergeCell ref="T82"/>
    <mergeCell ref="U82"/>
    <mergeCell ref="V82"/>
    <mergeCell ref="AF83"/>
    <mergeCell ref="AG83"/>
    <mergeCell ref="AH83"/>
    <mergeCell ref="AI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O84"/>
    <mergeCell ref="AA83"/>
    <mergeCell ref="AB83"/>
    <mergeCell ref="AC83"/>
    <mergeCell ref="AD83"/>
    <mergeCell ref="AE83"/>
    <mergeCell ref="V83"/>
    <mergeCell ref="W83"/>
    <mergeCell ref="X83"/>
    <mergeCell ref="Y83"/>
    <mergeCell ref="Z83"/>
    <mergeCell ref="Q83"/>
    <mergeCell ref="R83"/>
    <mergeCell ref="S83"/>
    <mergeCell ref="T83"/>
    <mergeCell ref="U83"/>
    <mergeCell ref="AH84"/>
    <mergeCell ref="AI84"/>
    <mergeCell ref="Z84"/>
    <mergeCell ref="AA84"/>
    <mergeCell ref="AB84"/>
    <mergeCell ref="AC84"/>
    <mergeCell ref="AD84"/>
    <mergeCell ref="U84"/>
    <mergeCell ref="V84"/>
    <mergeCell ref="W84"/>
    <mergeCell ref="X84"/>
    <mergeCell ref="Y84"/>
    <mergeCell ref="P84"/>
    <mergeCell ref="Q84"/>
    <mergeCell ref="R84"/>
    <mergeCell ref="S84"/>
    <mergeCell ref="T84"/>
    <mergeCell ref="O85"/>
    <mergeCell ref="P85"/>
    <mergeCell ref="Q85"/>
    <mergeCell ref="R85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AE84"/>
    <mergeCell ref="AF84"/>
    <mergeCell ref="AG84"/>
    <mergeCell ref="AH85"/>
    <mergeCell ref="AI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O86"/>
    <mergeCell ref="P86"/>
    <mergeCell ref="Q86"/>
    <mergeCell ref="AC85"/>
    <mergeCell ref="AD85"/>
    <mergeCell ref="AE85"/>
    <mergeCell ref="AF85"/>
    <mergeCell ref="AG85"/>
    <mergeCell ref="X85"/>
    <mergeCell ref="Y85"/>
    <mergeCell ref="Z85"/>
    <mergeCell ref="AA85"/>
    <mergeCell ref="AB85"/>
    <mergeCell ref="S85"/>
    <mergeCell ref="T85"/>
    <mergeCell ref="U85"/>
    <mergeCell ref="V85"/>
    <mergeCell ref="W85"/>
    <mergeCell ref="N85"/>
    <mergeCell ref="AG86"/>
    <mergeCell ref="AH86"/>
    <mergeCell ref="AI86"/>
    <mergeCell ref="C87:D87"/>
    <mergeCell ref="E87"/>
    <mergeCell ref="F87"/>
    <mergeCell ref="G87"/>
    <mergeCell ref="H87"/>
    <mergeCell ref="I87"/>
    <mergeCell ref="J87"/>
    <mergeCell ref="K87"/>
    <mergeCell ref="L87"/>
    <mergeCell ref="M87"/>
    <mergeCell ref="N87"/>
    <mergeCell ref="O87"/>
    <mergeCell ref="P87"/>
    <mergeCell ref="AB86"/>
    <mergeCell ref="AC86"/>
    <mergeCell ref="AD86"/>
    <mergeCell ref="AE86"/>
    <mergeCell ref="AF86"/>
    <mergeCell ref="W86"/>
    <mergeCell ref="X86"/>
    <mergeCell ref="Y86"/>
    <mergeCell ref="Z86"/>
    <mergeCell ref="AA86"/>
    <mergeCell ref="R86"/>
    <mergeCell ref="S86"/>
    <mergeCell ref="T86"/>
    <mergeCell ref="U86"/>
    <mergeCell ref="V86"/>
    <mergeCell ref="AF87"/>
    <mergeCell ref="AG87"/>
    <mergeCell ref="AH87"/>
    <mergeCell ref="AI87"/>
    <mergeCell ref="C88:D88"/>
    <mergeCell ref="E88"/>
    <mergeCell ref="F88"/>
    <mergeCell ref="G88"/>
    <mergeCell ref="H88"/>
    <mergeCell ref="I88"/>
    <mergeCell ref="J88"/>
    <mergeCell ref="K88"/>
    <mergeCell ref="L88"/>
    <mergeCell ref="M88"/>
    <mergeCell ref="N88"/>
    <mergeCell ref="O88"/>
    <mergeCell ref="AA87"/>
    <mergeCell ref="AB87"/>
    <mergeCell ref="AC87"/>
    <mergeCell ref="AD87"/>
    <mergeCell ref="AE87"/>
    <mergeCell ref="V87"/>
    <mergeCell ref="W87"/>
    <mergeCell ref="X87"/>
    <mergeCell ref="Y87"/>
    <mergeCell ref="Z87"/>
    <mergeCell ref="Q87"/>
    <mergeCell ref="R87"/>
    <mergeCell ref="S87"/>
    <mergeCell ref="T87"/>
    <mergeCell ref="U87"/>
    <mergeCell ref="AH88"/>
    <mergeCell ref="AI88"/>
    <mergeCell ref="Z88"/>
    <mergeCell ref="AA88"/>
    <mergeCell ref="AB88"/>
    <mergeCell ref="AC88"/>
    <mergeCell ref="AD88"/>
    <mergeCell ref="U88"/>
    <mergeCell ref="V88"/>
    <mergeCell ref="W88"/>
    <mergeCell ref="X88"/>
    <mergeCell ref="Y88"/>
    <mergeCell ref="P88"/>
    <mergeCell ref="Q88"/>
    <mergeCell ref="R88"/>
    <mergeCell ref="S88"/>
    <mergeCell ref="T88"/>
    <mergeCell ref="O89"/>
    <mergeCell ref="P89"/>
    <mergeCell ref="Q89"/>
    <mergeCell ref="R89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AE88"/>
    <mergeCell ref="AF88"/>
    <mergeCell ref="AG88"/>
    <mergeCell ref="AH89"/>
    <mergeCell ref="AI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O90"/>
    <mergeCell ref="P90"/>
    <mergeCell ref="Q90"/>
    <mergeCell ref="AC89"/>
    <mergeCell ref="AD89"/>
    <mergeCell ref="AE89"/>
    <mergeCell ref="AF89"/>
    <mergeCell ref="AG89"/>
    <mergeCell ref="X89"/>
    <mergeCell ref="Y89"/>
    <mergeCell ref="Z89"/>
    <mergeCell ref="AA89"/>
    <mergeCell ref="AB89"/>
    <mergeCell ref="S89"/>
    <mergeCell ref="T89"/>
    <mergeCell ref="U89"/>
    <mergeCell ref="V89"/>
    <mergeCell ref="W89"/>
    <mergeCell ref="N89"/>
    <mergeCell ref="AG90"/>
    <mergeCell ref="AH90"/>
    <mergeCell ref="AI90"/>
    <mergeCell ref="C91:D91"/>
    <mergeCell ref="E91"/>
    <mergeCell ref="F91"/>
    <mergeCell ref="G91"/>
    <mergeCell ref="H91"/>
    <mergeCell ref="I91"/>
    <mergeCell ref="J91"/>
    <mergeCell ref="K91"/>
    <mergeCell ref="L91"/>
    <mergeCell ref="M91"/>
    <mergeCell ref="N91"/>
    <mergeCell ref="O91"/>
    <mergeCell ref="P91"/>
    <mergeCell ref="AB90"/>
    <mergeCell ref="AC90"/>
    <mergeCell ref="AD90"/>
    <mergeCell ref="AE90"/>
    <mergeCell ref="AF90"/>
    <mergeCell ref="W90"/>
    <mergeCell ref="X90"/>
    <mergeCell ref="Y90"/>
    <mergeCell ref="Z90"/>
    <mergeCell ref="AA90"/>
    <mergeCell ref="R90"/>
    <mergeCell ref="S90"/>
    <mergeCell ref="T90"/>
    <mergeCell ref="U90"/>
    <mergeCell ref="V90"/>
    <mergeCell ref="AF91"/>
    <mergeCell ref="AG91"/>
    <mergeCell ref="AH91"/>
    <mergeCell ref="AI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O92"/>
    <mergeCell ref="AA91"/>
    <mergeCell ref="AB91"/>
    <mergeCell ref="AC91"/>
    <mergeCell ref="AD91"/>
    <mergeCell ref="AE91"/>
    <mergeCell ref="V91"/>
    <mergeCell ref="W91"/>
    <mergeCell ref="X91"/>
    <mergeCell ref="Y91"/>
    <mergeCell ref="Z91"/>
    <mergeCell ref="Q91"/>
    <mergeCell ref="R91"/>
    <mergeCell ref="S91"/>
    <mergeCell ref="T91"/>
    <mergeCell ref="U91"/>
    <mergeCell ref="AH92"/>
    <mergeCell ref="AI92"/>
    <mergeCell ref="Z92"/>
    <mergeCell ref="AA92"/>
    <mergeCell ref="AB92"/>
    <mergeCell ref="AC92"/>
    <mergeCell ref="AD92"/>
    <mergeCell ref="U92"/>
    <mergeCell ref="V92"/>
    <mergeCell ref="W92"/>
    <mergeCell ref="X92"/>
    <mergeCell ref="Y92"/>
    <mergeCell ref="P92"/>
    <mergeCell ref="Q92"/>
    <mergeCell ref="R92"/>
    <mergeCell ref="S92"/>
    <mergeCell ref="T92"/>
    <mergeCell ref="O93"/>
    <mergeCell ref="P93"/>
    <mergeCell ref="Q93"/>
    <mergeCell ref="R93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AE92"/>
    <mergeCell ref="AF92"/>
    <mergeCell ref="AG92"/>
    <mergeCell ref="AH93"/>
    <mergeCell ref="AI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O94"/>
    <mergeCell ref="P94"/>
    <mergeCell ref="Q94"/>
    <mergeCell ref="AC93"/>
    <mergeCell ref="AD93"/>
    <mergeCell ref="AE93"/>
    <mergeCell ref="AF93"/>
    <mergeCell ref="AG93"/>
    <mergeCell ref="X93"/>
    <mergeCell ref="Y93"/>
    <mergeCell ref="Z93"/>
    <mergeCell ref="AA93"/>
    <mergeCell ref="AB93"/>
    <mergeCell ref="S93"/>
    <mergeCell ref="T93"/>
    <mergeCell ref="U93"/>
    <mergeCell ref="V93"/>
    <mergeCell ref="W93"/>
    <mergeCell ref="N93"/>
    <mergeCell ref="AG94"/>
    <mergeCell ref="AH94"/>
    <mergeCell ref="AI94"/>
    <mergeCell ref="C95:D95"/>
    <mergeCell ref="E95"/>
    <mergeCell ref="F95"/>
    <mergeCell ref="G95"/>
    <mergeCell ref="H95"/>
    <mergeCell ref="I95"/>
    <mergeCell ref="J95"/>
    <mergeCell ref="K95"/>
    <mergeCell ref="L95"/>
    <mergeCell ref="M95"/>
    <mergeCell ref="N95"/>
    <mergeCell ref="O95"/>
    <mergeCell ref="P95"/>
    <mergeCell ref="AB94"/>
    <mergeCell ref="AC94"/>
    <mergeCell ref="AD94"/>
    <mergeCell ref="AE94"/>
    <mergeCell ref="AF94"/>
    <mergeCell ref="W94"/>
    <mergeCell ref="X94"/>
    <mergeCell ref="Y94"/>
    <mergeCell ref="Z94"/>
    <mergeCell ref="AA94"/>
    <mergeCell ref="R94"/>
    <mergeCell ref="S94"/>
    <mergeCell ref="T94"/>
    <mergeCell ref="U94"/>
    <mergeCell ref="V94"/>
    <mergeCell ref="AF95"/>
    <mergeCell ref="AG95"/>
    <mergeCell ref="AH95"/>
    <mergeCell ref="AI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O96"/>
    <mergeCell ref="AA95"/>
    <mergeCell ref="AB95"/>
    <mergeCell ref="AC95"/>
    <mergeCell ref="AD95"/>
    <mergeCell ref="AE95"/>
    <mergeCell ref="V95"/>
    <mergeCell ref="W95"/>
    <mergeCell ref="X95"/>
    <mergeCell ref="Y95"/>
    <mergeCell ref="Z95"/>
    <mergeCell ref="Q95"/>
    <mergeCell ref="R95"/>
    <mergeCell ref="S95"/>
    <mergeCell ref="T95"/>
    <mergeCell ref="U95"/>
    <mergeCell ref="AH96"/>
    <mergeCell ref="AI96"/>
    <mergeCell ref="Z96"/>
    <mergeCell ref="AA96"/>
    <mergeCell ref="AB96"/>
    <mergeCell ref="AC96"/>
    <mergeCell ref="AD96"/>
    <mergeCell ref="U96"/>
    <mergeCell ref="V96"/>
    <mergeCell ref="W96"/>
    <mergeCell ref="X96"/>
    <mergeCell ref="Y96"/>
    <mergeCell ref="P96"/>
    <mergeCell ref="Q96"/>
    <mergeCell ref="R96"/>
    <mergeCell ref="S96"/>
    <mergeCell ref="T96"/>
    <mergeCell ref="O97"/>
    <mergeCell ref="P97"/>
    <mergeCell ref="Q97"/>
    <mergeCell ref="R97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AE96"/>
    <mergeCell ref="AF96"/>
    <mergeCell ref="AG96"/>
    <mergeCell ref="AH97"/>
    <mergeCell ref="AI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O98"/>
    <mergeCell ref="P98"/>
    <mergeCell ref="Q98"/>
    <mergeCell ref="AC97"/>
    <mergeCell ref="AD97"/>
    <mergeCell ref="AE97"/>
    <mergeCell ref="AF97"/>
    <mergeCell ref="AG97"/>
    <mergeCell ref="X97"/>
    <mergeCell ref="Y97"/>
    <mergeCell ref="Z97"/>
    <mergeCell ref="AA97"/>
    <mergeCell ref="AB97"/>
    <mergeCell ref="S97"/>
    <mergeCell ref="T97"/>
    <mergeCell ref="U97"/>
    <mergeCell ref="V97"/>
    <mergeCell ref="W97"/>
    <mergeCell ref="N97"/>
    <mergeCell ref="AG98"/>
    <mergeCell ref="AH98"/>
    <mergeCell ref="AI98"/>
    <mergeCell ref="C99:D99"/>
    <mergeCell ref="E99"/>
    <mergeCell ref="F99"/>
    <mergeCell ref="G99"/>
    <mergeCell ref="H99"/>
    <mergeCell ref="I99"/>
    <mergeCell ref="J99"/>
    <mergeCell ref="K99"/>
    <mergeCell ref="L99"/>
    <mergeCell ref="M99"/>
    <mergeCell ref="N99"/>
    <mergeCell ref="O99"/>
    <mergeCell ref="P99"/>
    <mergeCell ref="AB98"/>
    <mergeCell ref="AC98"/>
    <mergeCell ref="AD98"/>
    <mergeCell ref="AE98"/>
    <mergeCell ref="AF98"/>
    <mergeCell ref="W98"/>
    <mergeCell ref="X98"/>
    <mergeCell ref="Y98"/>
    <mergeCell ref="Z98"/>
    <mergeCell ref="AA98"/>
    <mergeCell ref="R98"/>
    <mergeCell ref="S98"/>
    <mergeCell ref="T98"/>
    <mergeCell ref="U98"/>
    <mergeCell ref="V98"/>
    <mergeCell ref="AF99"/>
    <mergeCell ref="AG99"/>
    <mergeCell ref="AH99"/>
    <mergeCell ref="AI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M100"/>
    <mergeCell ref="N100"/>
    <mergeCell ref="O100"/>
    <mergeCell ref="AA99"/>
    <mergeCell ref="AB99"/>
    <mergeCell ref="AC99"/>
    <mergeCell ref="AD99"/>
    <mergeCell ref="AE99"/>
    <mergeCell ref="V99"/>
    <mergeCell ref="W99"/>
    <mergeCell ref="X99"/>
    <mergeCell ref="Y99"/>
    <mergeCell ref="Z99"/>
    <mergeCell ref="Q99"/>
    <mergeCell ref="R99"/>
    <mergeCell ref="S99"/>
    <mergeCell ref="T99"/>
    <mergeCell ref="U99"/>
    <mergeCell ref="AH100"/>
    <mergeCell ref="AI100"/>
    <mergeCell ref="Z100"/>
    <mergeCell ref="AA100"/>
    <mergeCell ref="AB100"/>
    <mergeCell ref="AC100"/>
    <mergeCell ref="AD100"/>
    <mergeCell ref="U100"/>
    <mergeCell ref="V100"/>
    <mergeCell ref="W100"/>
    <mergeCell ref="X100"/>
    <mergeCell ref="Y100"/>
    <mergeCell ref="P100"/>
    <mergeCell ref="Q100"/>
    <mergeCell ref="R100"/>
    <mergeCell ref="S100"/>
    <mergeCell ref="T100"/>
    <mergeCell ref="O101"/>
    <mergeCell ref="P101"/>
    <mergeCell ref="Q101"/>
    <mergeCell ref="R101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AE100"/>
    <mergeCell ref="AF100"/>
    <mergeCell ref="AG100"/>
    <mergeCell ref="AH101"/>
    <mergeCell ref="AI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O102"/>
    <mergeCell ref="P102"/>
    <mergeCell ref="Q102"/>
    <mergeCell ref="AC101"/>
    <mergeCell ref="AD101"/>
    <mergeCell ref="AE101"/>
    <mergeCell ref="AF101"/>
    <mergeCell ref="AG101"/>
    <mergeCell ref="X101"/>
    <mergeCell ref="Y101"/>
    <mergeCell ref="Z101"/>
    <mergeCell ref="AA101"/>
    <mergeCell ref="AB101"/>
    <mergeCell ref="S101"/>
    <mergeCell ref="T101"/>
    <mergeCell ref="U101"/>
    <mergeCell ref="V101"/>
    <mergeCell ref="W101"/>
    <mergeCell ref="N101"/>
    <mergeCell ref="AG102"/>
    <mergeCell ref="AH102"/>
    <mergeCell ref="AI102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M103"/>
    <mergeCell ref="N103"/>
    <mergeCell ref="O103"/>
    <mergeCell ref="P103"/>
    <mergeCell ref="AB102"/>
    <mergeCell ref="AC102"/>
    <mergeCell ref="AD102"/>
    <mergeCell ref="AE102"/>
    <mergeCell ref="AF102"/>
    <mergeCell ref="W102"/>
    <mergeCell ref="X102"/>
    <mergeCell ref="Y102"/>
    <mergeCell ref="Z102"/>
    <mergeCell ref="AA102"/>
    <mergeCell ref="R102"/>
    <mergeCell ref="S102"/>
    <mergeCell ref="T102"/>
    <mergeCell ref="U102"/>
    <mergeCell ref="V102"/>
    <mergeCell ref="AF103"/>
    <mergeCell ref="AG103"/>
    <mergeCell ref="AH103"/>
    <mergeCell ref="AI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O104"/>
    <mergeCell ref="AA103"/>
    <mergeCell ref="AB103"/>
    <mergeCell ref="AC103"/>
    <mergeCell ref="AD103"/>
    <mergeCell ref="AE103"/>
    <mergeCell ref="V103"/>
    <mergeCell ref="W103"/>
    <mergeCell ref="X103"/>
    <mergeCell ref="Y103"/>
    <mergeCell ref="Z103"/>
    <mergeCell ref="Q103"/>
    <mergeCell ref="R103"/>
    <mergeCell ref="S103"/>
    <mergeCell ref="T103"/>
    <mergeCell ref="U103"/>
    <mergeCell ref="AH104"/>
    <mergeCell ref="AI104"/>
    <mergeCell ref="Z104"/>
    <mergeCell ref="AA104"/>
    <mergeCell ref="AB104"/>
    <mergeCell ref="AC104"/>
    <mergeCell ref="AD104"/>
    <mergeCell ref="U104"/>
    <mergeCell ref="V104"/>
    <mergeCell ref="W104"/>
    <mergeCell ref="X104"/>
    <mergeCell ref="Y104"/>
    <mergeCell ref="P104"/>
    <mergeCell ref="Q104"/>
    <mergeCell ref="R104"/>
    <mergeCell ref="S104"/>
    <mergeCell ref="T104"/>
    <mergeCell ref="O105"/>
    <mergeCell ref="P105"/>
    <mergeCell ref="Q105"/>
    <mergeCell ref="R105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AE104"/>
    <mergeCell ref="AF104"/>
    <mergeCell ref="AG104"/>
    <mergeCell ref="AH105"/>
    <mergeCell ref="AI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O106"/>
    <mergeCell ref="P106"/>
    <mergeCell ref="Q106"/>
    <mergeCell ref="AC105"/>
    <mergeCell ref="AD105"/>
    <mergeCell ref="AE105"/>
    <mergeCell ref="AF105"/>
    <mergeCell ref="AG105"/>
    <mergeCell ref="X105"/>
    <mergeCell ref="Y105"/>
    <mergeCell ref="Z105"/>
    <mergeCell ref="AA105"/>
    <mergeCell ref="AB105"/>
    <mergeCell ref="S105"/>
    <mergeCell ref="T105"/>
    <mergeCell ref="U105"/>
    <mergeCell ref="V105"/>
    <mergeCell ref="W105"/>
    <mergeCell ref="N105"/>
    <mergeCell ref="AG106"/>
    <mergeCell ref="AH106"/>
    <mergeCell ref="AI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M107"/>
    <mergeCell ref="N107"/>
    <mergeCell ref="O107"/>
    <mergeCell ref="P107"/>
    <mergeCell ref="AB106"/>
    <mergeCell ref="AC106"/>
    <mergeCell ref="AD106"/>
    <mergeCell ref="AE106"/>
    <mergeCell ref="AF106"/>
    <mergeCell ref="W106"/>
    <mergeCell ref="X106"/>
    <mergeCell ref="Y106"/>
    <mergeCell ref="Z106"/>
    <mergeCell ref="AA106"/>
    <mergeCell ref="R106"/>
    <mergeCell ref="S106"/>
    <mergeCell ref="T106"/>
    <mergeCell ref="U106"/>
    <mergeCell ref="V106"/>
    <mergeCell ref="AF107"/>
    <mergeCell ref="AG107"/>
    <mergeCell ref="AH107"/>
    <mergeCell ref="AI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O108"/>
    <mergeCell ref="AA107"/>
    <mergeCell ref="AB107"/>
    <mergeCell ref="AC107"/>
    <mergeCell ref="AD107"/>
    <mergeCell ref="AE107"/>
    <mergeCell ref="V107"/>
    <mergeCell ref="W107"/>
    <mergeCell ref="X107"/>
    <mergeCell ref="Y107"/>
    <mergeCell ref="Z107"/>
    <mergeCell ref="Q107"/>
    <mergeCell ref="R107"/>
    <mergeCell ref="S107"/>
    <mergeCell ref="T107"/>
    <mergeCell ref="U107"/>
    <mergeCell ref="AH108"/>
    <mergeCell ref="AI108"/>
    <mergeCell ref="Z108"/>
    <mergeCell ref="AA108"/>
    <mergeCell ref="AB108"/>
    <mergeCell ref="AC108"/>
    <mergeCell ref="AD108"/>
    <mergeCell ref="U108"/>
    <mergeCell ref="V108"/>
    <mergeCell ref="W108"/>
    <mergeCell ref="X108"/>
    <mergeCell ref="Y108"/>
    <mergeCell ref="P108"/>
    <mergeCell ref="Q108"/>
    <mergeCell ref="R108"/>
    <mergeCell ref="S108"/>
    <mergeCell ref="T108"/>
    <mergeCell ref="O109"/>
    <mergeCell ref="P109"/>
    <mergeCell ref="Q109"/>
    <mergeCell ref="R109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AE108"/>
    <mergeCell ref="AF108"/>
    <mergeCell ref="AG108"/>
    <mergeCell ref="AH109"/>
    <mergeCell ref="AI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O110"/>
    <mergeCell ref="P110"/>
    <mergeCell ref="Q110"/>
    <mergeCell ref="AC109"/>
    <mergeCell ref="AD109"/>
    <mergeCell ref="AE109"/>
    <mergeCell ref="AF109"/>
    <mergeCell ref="AG109"/>
    <mergeCell ref="X109"/>
    <mergeCell ref="Y109"/>
    <mergeCell ref="Z109"/>
    <mergeCell ref="AA109"/>
    <mergeCell ref="AB109"/>
    <mergeCell ref="S109"/>
    <mergeCell ref="T109"/>
    <mergeCell ref="U109"/>
    <mergeCell ref="V109"/>
    <mergeCell ref="W109"/>
    <mergeCell ref="N109"/>
    <mergeCell ref="AG110"/>
    <mergeCell ref="AH110"/>
    <mergeCell ref="AI110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M111"/>
    <mergeCell ref="N111"/>
    <mergeCell ref="O111"/>
    <mergeCell ref="P111"/>
    <mergeCell ref="AB110"/>
    <mergeCell ref="AC110"/>
    <mergeCell ref="AD110"/>
    <mergeCell ref="AE110"/>
    <mergeCell ref="AF110"/>
    <mergeCell ref="W110"/>
    <mergeCell ref="X110"/>
    <mergeCell ref="Y110"/>
    <mergeCell ref="Z110"/>
    <mergeCell ref="AA110"/>
    <mergeCell ref="R110"/>
    <mergeCell ref="S110"/>
    <mergeCell ref="T110"/>
    <mergeCell ref="U110"/>
    <mergeCell ref="V110"/>
    <mergeCell ref="AF111"/>
    <mergeCell ref="AG111"/>
    <mergeCell ref="AH111"/>
    <mergeCell ref="AI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M112"/>
    <mergeCell ref="N112"/>
    <mergeCell ref="O112"/>
    <mergeCell ref="AA111"/>
    <mergeCell ref="AB111"/>
    <mergeCell ref="AC111"/>
    <mergeCell ref="AD111"/>
    <mergeCell ref="AE111"/>
    <mergeCell ref="V111"/>
    <mergeCell ref="W111"/>
    <mergeCell ref="X111"/>
    <mergeCell ref="Y111"/>
    <mergeCell ref="Z111"/>
    <mergeCell ref="Q111"/>
    <mergeCell ref="R111"/>
    <mergeCell ref="S111"/>
    <mergeCell ref="T111"/>
    <mergeCell ref="U111"/>
    <mergeCell ref="AH112"/>
    <mergeCell ref="AI112"/>
    <mergeCell ref="Z112"/>
    <mergeCell ref="AA112"/>
    <mergeCell ref="AB112"/>
    <mergeCell ref="AC112"/>
    <mergeCell ref="AD112"/>
    <mergeCell ref="U112"/>
    <mergeCell ref="V112"/>
    <mergeCell ref="W112"/>
    <mergeCell ref="X112"/>
    <mergeCell ref="Y112"/>
    <mergeCell ref="P112"/>
    <mergeCell ref="Q112"/>
    <mergeCell ref="R112"/>
    <mergeCell ref="S112"/>
    <mergeCell ref="T112"/>
    <mergeCell ref="O113"/>
    <mergeCell ref="P113"/>
    <mergeCell ref="Q113"/>
    <mergeCell ref="R113"/>
    <mergeCell ref="I113"/>
    <mergeCell ref="J113"/>
    <mergeCell ref="K113"/>
    <mergeCell ref="L113"/>
    <mergeCell ref="M113"/>
    <mergeCell ref="C113:D113"/>
    <mergeCell ref="E113"/>
    <mergeCell ref="F113"/>
    <mergeCell ref="G113"/>
    <mergeCell ref="H113"/>
    <mergeCell ref="AE112"/>
    <mergeCell ref="AF112"/>
    <mergeCell ref="AG112"/>
    <mergeCell ref="AH113"/>
    <mergeCell ref="AI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O114"/>
    <mergeCell ref="P114"/>
    <mergeCell ref="Q114"/>
    <mergeCell ref="AC113"/>
    <mergeCell ref="AD113"/>
    <mergeCell ref="AE113"/>
    <mergeCell ref="AF113"/>
    <mergeCell ref="AG113"/>
    <mergeCell ref="X113"/>
    <mergeCell ref="Y113"/>
    <mergeCell ref="Z113"/>
    <mergeCell ref="AA113"/>
    <mergeCell ref="AB113"/>
    <mergeCell ref="S113"/>
    <mergeCell ref="T113"/>
    <mergeCell ref="U113"/>
    <mergeCell ref="V113"/>
    <mergeCell ref="W113"/>
    <mergeCell ref="N113"/>
    <mergeCell ref="AG114"/>
    <mergeCell ref="AH114"/>
    <mergeCell ref="AI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M115"/>
    <mergeCell ref="N115"/>
    <mergeCell ref="O115"/>
    <mergeCell ref="P115"/>
    <mergeCell ref="AB114"/>
    <mergeCell ref="AC114"/>
    <mergeCell ref="AD114"/>
    <mergeCell ref="AE114"/>
    <mergeCell ref="AF114"/>
    <mergeCell ref="W114"/>
    <mergeCell ref="X114"/>
    <mergeCell ref="Y114"/>
    <mergeCell ref="Z114"/>
    <mergeCell ref="AA114"/>
    <mergeCell ref="R114"/>
    <mergeCell ref="S114"/>
    <mergeCell ref="T114"/>
    <mergeCell ref="U114"/>
    <mergeCell ref="V114"/>
    <mergeCell ref="AF115"/>
    <mergeCell ref="AG115"/>
    <mergeCell ref="AH115"/>
    <mergeCell ref="AI115"/>
    <mergeCell ref="AA115"/>
    <mergeCell ref="AB115"/>
    <mergeCell ref="AC115"/>
    <mergeCell ref="AD115"/>
    <mergeCell ref="AE115"/>
    <mergeCell ref="V115"/>
    <mergeCell ref="W115"/>
    <mergeCell ref="X115"/>
    <mergeCell ref="Y115"/>
    <mergeCell ref="Z115"/>
    <mergeCell ref="Q115"/>
    <mergeCell ref="R115"/>
    <mergeCell ref="S115"/>
    <mergeCell ref="T115"/>
    <mergeCell ref="U115"/>
  </mergeCells>
  <dataValidations count="28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ate" showErrorMessage="1" errorTitle="Kesalahan Jenis Data" error="Data yang dimasukkan harus berupa tanggal!" sqref="N16">
      <formula1>0</formula1>
      <formula2>2958465.99999999</formula2>
    </dataValidation>
    <dataValidation type="date" showErrorMessage="1" errorTitle="Kesalahan Jenis Data" error="Data yang dimasukkan harus berupa tanggal!" sqref="O16">
      <formula1>0</formula1>
      <formula2>2958465.99999999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V16">
      <formula1>-1000000000000000000</formula1>
      <formula2>1000000000000000000</formula2>
    </dataValidation>
    <dataValidation type="decimal" showErrorMessage="1" errorTitle="Kesalahan Jenis Data" error="Data yang dimasukkan harus berupa Angka!" sqref="W16">
      <formula1>-1000000000000000000</formula1>
      <formula2>1000000000000000000</formula2>
    </dataValidation>
    <dataValidation type="decimal" showErrorMessage="1" errorTitle="Kesalahan Jenis Data" error="Data yang dimasukkan harus berupa Angka!" sqref="X16">
      <formula1>-1000000000000000000</formula1>
      <formula2>1000000000000000000</formula2>
    </dataValidation>
    <dataValidation type="decimal" showErrorMessage="1" errorTitle="Kesalahan Jenis Data" error="Data yang dimasukkan harus berupa Angka!" sqref="Y16">
      <formula1>-1000000000000000000</formula1>
      <formula2>1000000000000000000</formula2>
    </dataValidation>
    <dataValidation type="decimal" showErrorMessage="1" errorTitle="Kesalahan Jenis Data" error="Data yang dimasukkan harus berupa Angka!" sqref="Z16">
      <formula1>-1000000000000000000</formula1>
      <formula2>1000000000000000000</formula2>
    </dataValidation>
    <dataValidation type="decimal" showErrorMessage="1" errorTitle="Kesalahan Jenis Data" error="Data yang dimasukkan harus berupa Angka!" sqref="AA16">
      <formula1>-1000000000000000000</formula1>
      <formula2>1000000000000000000</formula2>
    </dataValidation>
    <dataValidation type="decimal" showErrorMessage="1" errorTitle="Kesalahan Jenis Data" error="Data yang dimasukkan harus berupa Angka!" sqref="AB16">
      <formula1>-1000000000000000000</formula1>
      <formula2>1000000000000000000</formula2>
    </dataValidation>
    <dataValidation type="decimal" showErrorMessage="1" errorTitle="Kesalahan Jenis Data" error="Data yang dimasukkan harus berupa Angka!" sqref="AC16">
      <formula1>-1000000000000000000</formula1>
      <formula2>1000000000000000000</formula2>
    </dataValidation>
    <dataValidation type="decimal" showErrorMessage="1" errorTitle="Kesalahan Jenis Data" error="Data yang dimasukkan harus berupa Angka!" sqref="AD16">
      <formula1>-1000000000000000000</formula1>
      <formula2>1000000000000000000</formula2>
    </dataValidation>
    <dataValidation type="decimal" showErrorMessage="1" errorTitle="Kesalahan Jenis Data" error="Data yang dimasukkan harus berupa Angka!" sqref="AE16">
      <formula1>-1000000000000000000</formula1>
      <formula2>1000000000000000000</formula2>
    </dataValidation>
    <dataValidation type="decimal" showErrorMessage="1" errorTitle="Kesalahan Jenis Data" error="Data yang dimasukkan harus berupa Angka!" sqref="AF16">
      <formula1>-1000000000000000000</formula1>
      <formula2>1000000000000000000</formula2>
    </dataValidation>
    <dataValidation type="decimal" showErrorMessage="1" errorTitle="Kesalahan Jenis Data" error="Data yang dimasukkan harus berupa Angka!" sqref="AG16">
      <formula1>-1000000000000000000</formula1>
      <formula2>1000000000000000000</formula2>
    </dataValidation>
    <dataValidation type="decimal" showErrorMessage="1" errorTitle="Kesalahan Jenis Data" error="Data yang dimasukkan harus berupa Angka!" sqref="AH16">
      <formula1>-1000000000000000000</formula1>
      <formula2>1000000000000000000</formula2>
    </dataValidation>
    <dataValidation type="decimal" showErrorMessage="1" errorTitle="Kesalahan Jenis Data" error="Data yang dimasukkan harus berupa Angka!" sqref="AI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ate" showErrorMessage="1" errorTitle="Kesalahan Jenis Data" error="Data yang dimasukkan harus berupa tanggal!" sqref="N17">
      <formula1>0</formula1>
      <formula2>2958465.99999999</formula2>
    </dataValidation>
    <dataValidation type="date" showErrorMessage="1" errorTitle="Kesalahan Jenis Data" error="Data yang dimasukkan harus berupa tanggal!" sqref="O17">
      <formula1>0</formula1>
      <formula2>2958465.99999999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V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AB17">
      <formula1>-1000000000000000000</formula1>
      <formula2>1000000000000000000</formula2>
    </dataValidation>
    <dataValidation type="decimal" showErrorMessage="1" errorTitle="Kesalahan Jenis Data" error="Data yang dimasukkan harus berupa Angka!" sqref="AC17">
      <formula1>-1000000000000000000</formula1>
      <formula2>1000000000000000000</formula2>
    </dataValidation>
    <dataValidation type="decimal" showErrorMessage="1" errorTitle="Kesalahan Jenis Data" error="Data yang dimasukkan harus berupa Angka!" sqref="AD17">
      <formula1>-1000000000000000000</formula1>
      <formula2>1000000000000000000</formula2>
    </dataValidation>
    <dataValidation type="decimal" showErrorMessage="1" errorTitle="Kesalahan Jenis Data" error="Data yang dimasukkan harus berupa Angka!" sqref="AE17">
      <formula1>-1000000000000000000</formula1>
      <formula2>1000000000000000000</formula2>
    </dataValidation>
    <dataValidation type="decimal" showErrorMessage="1" errorTitle="Kesalahan Jenis Data" error="Data yang dimasukkan harus berupa Angka!" sqref="AF17">
      <formula1>-1000000000000000000</formula1>
      <formula2>1000000000000000000</formula2>
    </dataValidation>
    <dataValidation type="decimal" showErrorMessage="1" errorTitle="Kesalahan Jenis Data" error="Data yang dimasukkan harus berupa Angka!" sqref="AG17">
      <formula1>-1000000000000000000</formula1>
      <formula2>1000000000000000000</formula2>
    </dataValidation>
    <dataValidation type="decimal" showErrorMessage="1" errorTitle="Kesalahan Jenis Data" error="Data yang dimasukkan harus berupa Angka!" sqref="AH17">
      <formula1>-1000000000000000000</formula1>
      <formula2>1000000000000000000</formula2>
    </dataValidation>
    <dataValidation type="decimal" showErrorMessage="1" errorTitle="Kesalahan Jenis Data" error="Data yang dimasukkan harus berupa Angka!" sqref="AI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ate" showErrorMessage="1" errorTitle="Kesalahan Jenis Data" error="Data yang dimasukkan harus berupa tanggal!" sqref="N18">
      <formula1>0</formula1>
      <formula2>2958465.99999999</formula2>
    </dataValidation>
    <dataValidation type="date" showErrorMessage="1" errorTitle="Kesalahan Jenis Data" error="Data yang dimasukkan harus berupa tanggal!" sqref="O18">
      <formula1>0</formula1>
      <formula2>2958465.99999999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V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AB18">
      <formula1>-1000000000000000000</formula1>
      <formula2>1000000000000000000</formula2>
    </dataValidation>
    <dataValidation type="decimal" showErrorMessage="1" errorTitle="Kesalahan Jenis Data" error="Data yang dimasukkan harus berupa Angka!" sqref="AC18">
      <formula1>-1000000000000000000</formula1>
      <formula2>1000000000000000000</formula2>
    </dataValidation>
    <dataValidation type="decimal" showErrorMessage="1" errorTitle="Kesalahan Jenis Data" error="Data yang dimasukkan harus berupa Angka!" sqref="AD18">
      <formula1>-1000000000000000000</formula1>
      <formula2>1000000000000000000</formula2>
    </dataValidation>
    <dataValidation type="decimal" showErrorMessage="1" errorTitle="Kesalahan Jenis Data" error="Data yang dimasukkan harus berupa Angka!" sqref="AE18">
      <formula1>-1000000000000000000</formula1>
      <formula2>1000000000000000000</formula2>
    </dataValidation>
    <dataValidation type="decimal" showErrorMessage="1" errorTitle="Kesalahan Jenis Data" error="Data yang dimasukkan harus berupa Angka!" sqref="AF18">
      <formula1>-1000000000000000000</formula1>
      <formula2>1000000000000000000</formula2>
    </dataValidation>
    <dataValidation type="decimal" showErrorMessage="1" errorTitle="Kesalahan Jenis Data" error="Data yang dimasukkan harus berupa Angka!" sqref="AG18">
      <formula1>-1000000000000000000</formula1>
      <formula2>1000000000000000000</formula2>
    </dataValidation>
    <dataValidation type="decimal" showErrorMessage="1" errorTitle="Kesalahan Jenis Data" error="Data yang dimasukkan harus berupa Angka!" sqref="AH18">
      <formula1>-1000000000000000000</formula1>
      <formula2>1000000000000000000</formula2>
    </dataValidation>
    <dataValidation type="decimal" showErrorMessage="1" errorTitle="Kesalahan Jenis Data" error="Data yang dimasukkan harus berupa Angka!" sqref="AI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ate" showErrorMessage="1" errorTitle="Kesalahan Jenis Data" error="Data yang dimasukkan harus berupa tanggal!" sqref="N19">
      <formula1>0</formula1>
      <formula2>2958465.99999999</formula2>
    </dataValidation>
    <dataValidation type="date" showErrorMessage="1" errorTitle="Kesalahan Jenis Data" error="Data yang dimasukkan harus berupa tanggal!" sqref="O19">
      <formula1>0</formula1>
      <formula2>2958465.99999999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V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AB19">
      <formula1>-1000000000000000000</formula1>
      <formula2>1000000000000000000</formula2>
    </dataValidation>
    <dataValidation type="decimal" showErrorMessage="1" errorTitle="Kesalahan Jenis Data" error="Data yang dimasukkan harus berupa Angka!" sqref="AC19">
      <formula1>-1000000000000000000</formula1>
      <formula2>1000000000000000000</formula2>
    </dataValidation>
    <dataValidation type="decimal" showErrorMessage="1" errorTitle="Kesalahan Jenis Data" error="Data yang dimasukkan harus berupa Angka!" sqref="AD19">
      <formula1>-1000000000000000000</formula1>
      <formula2>1000000000000000000</formula2>
    </dataValidation>
    <dataValidation type="decimal" showErrorMessage="1" errorTitle="Kesalahan Jenis Data" error="Data yang dimasukkan harus berupa Angka!" sqref="AE19">
      <formula1>-1000000000000000000</formula1>
      <formula2>1000000000000000000</formula2>
    </dataValidation>
    <dataValidation type="decimal" showErrorMessage="1" errorTitle="Kesalahan Jenis Data" error="Data yang dimasukkan harus berupa Angka!" sqref="AF19">
      <formula1>-1000000000000000000</formula1>
      <formula2>1000000000000000000</formula2>
    </dataValidation>
    <dataValidation type="decimal" showErrorMessage="1" errorTitle="Kesalahan Jenis Data" error="Data yang dimasukkan harus berupa Angka!" sqref="AG19">
      <formula1>-1000000000000000000</formula1>
      <formula2>1000000000000000000</formula2>
    </dataValidation>
    <dataValidation type="decimal" showErrorMessage="1" errorTitle="Kesalahan Jenis Data" error="Data yang dimasukkan harus berupa Angka!" sqref="AH19">
      <formula1>-1000000000000000000</formula1>
      <formula2>1000000000000000000</formula2>
    </dataValidation>
    <dataValidation type="decimal" showErrorMessage="1" errorTitle="Kesalahan Jenis Data" error="Data yang dimasukkan harus berupa Angka!" sqref="AI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ate" showErrorMessage="1" errorTitle="Kesalahan Jenis Data" error="Data yang dimasukkan harus berupa tanggal!" sqref="N20">
      <formula1>0</formula1>
      <formula2>2958465.99999999</formula2>
    </dataValidation>
    <dataValidation type="date" showErrorMessage="1" errorTitle="Kesalahan Jenis Data" error="Data yang dimasukkan harus berupa tanggal!" sqref="O20">
      <formula1>0</formula1>
      <formula2>2958465.99999999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V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AB20">
      <formula1>-1000000000000000000</formula1>
      <formula2>1000000000000000000</formula2>
    </dataValidation>
    <dataValidation type="decimal" showErrorMessage="1" errorTitle="Kesalahan Jenis Data" error="Data yang dimasukkan harus berupa Angka!" sqref="AC20">
      <formula1>-1000000000000000000</formula1>
      <formula2>1000000000000000000</formula2>
    </dataValidation>
    <dataValidation type="decimal" showErrorMessage="1" errorTitle="Kesalahan Jenis Data" error="Data yang dimasukkan harus berupa Angka!" sqref="AD20">
      <formula1>-1000000000000000000</formula1>
      <formula2>1000000000000000000</formula2>
    </dataValidation>
    <dataValidation type="decimal" showErrorMessage="1" errorTitle="Kesalahan Jenis Data" error="Data yang dimasukkan harus berupa Angka!" sqref="AE20">
      <formula1>-1000000000000000000</formula1>
      <formula2>1000000000000000000</formula2>
    </dataValidation>
    <dataValidation type="decimal" showErrorMessage="1" errorTitle="Kesalahan Jenis Data" error="Data yang dimasukkan harus berupa Angka!" sqref="AF20">
      <formula1>-1000000000000000000</formula1>
      <formula2>1000000000000000000</formula2>
    </dataValidation>
    <dataValidation type="decimal" showErrorMessage="1" errorTitle="Kesalahan Jenis Data" error="Data yang dimasukkan harus berupa Angka!" sqref="AG20">
      <formula1>-1000000000000000000</formula1>
      <formula2>1000000000000000000</formula2>
    </dataValidation>
    <dataValidation type="decimal" showErrorMessage="1" errorTitle="Kesalahan Jenis Data" error="Data yang dimasukkan harus berupa Angka!" sqref="AH20">
      <formula1>-1000000000000000000</formula1>
      <formula2>1000000000000000000</formula2>
    </dataValidation>
    <dataValidation type="decimal" showErrorMessage="1" errorTitle="Kesalahan Jenis Data" error="Data yang dimasukkan harus berupa Angka!" sqref="AI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ate" showErrorMessage="1" errorTitle="Kesalahan Jenis Data" error="Data yang dimasukkan harus berupa tanggal!" sqref="N21">
      <formula1>0</formula1>
      <formula2>2958465.99999999</formula2>
    </dataValidation>
    <dataValidation type="date" showErrorMessage="1" errorTitle="Kesalahan Jenis Data" error="Data yang dimasukkan harus berupa tanggal!" sqref="O21">
      <formula1>0</formula1>
      <formula2>2958465.99999999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V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AB21">
      <formula1>-1000000000000000000</formula1>
      <formula2>1000000000000000000</formula2>
    </dataValidation>
    <dataValidation type="decimal" showErrorMessage="1" errorTitle="Kesalahan Jenis Data" error="Data yang dimasukkan harus berupa Angka!" sqref="AC21">
      <formula1>-1000000000000000000</formula1>
      <formula2>1000000000000000000</formula2>
    </dataValidation>
    <dataValidation type="decimal" showErrorMessage="1" errorTitle="Kesalahan Jenis Data" error="Data yang dimasukkan harus berupa Angka!" sqref="AD21">
      <formula1>-1000000000000000000</formula1>
      <formula2>1000000000000000000</formula2>
    </dataValidation>
    <dataValidation type="decimal" showErrorMessage="1" errorTitle="Kesalahan Jenis Data" error="Data yang dimasukkan harus berupa Angka!" sqref="AE21">
      <formula1>-1000000000000000000</formula1>
      <formula2>1000000000000000000</formula2>
    </dataValidation>
    <dataValidation type="decimal" showErrorMessage="1" errorTitle="Kesalahan Jenis Data" error="Data yang dimasukkan harus berupa Angka!" sqref="AF21">
      <formula1>-1000000000000000000</formula1>
      <formula2>1000000000000000000</formula2>
    </dataValidation>
    <dataValidation type="decimal" showErrorMessage="1" errorTitle="Kesalahan Jenis Data" error="Data yang dimasukkan harus berupa Angka!" sqref="AG21">
      <formula1>-1000000000000000000</formula1>
      <formula2>1000000000000000000</formula2>
    </dataValidation>
    <dataValidation type="decimal" showErrorMessage="1" errorTitle="Kesalahan Jenis Data" error="Data yang dimasukkan harus berupa Angka!" sqref="AH21">
      <formula1>-1000000000000000000</formula1>
      <formula2>1000000000000000000</formula2>
    </dataValidation>
    <dataValidation type="decimal" showErrorMessage="1" errorTitle="Kesalahan Jenis Data" error="Data yang dimasukkan harus berupa Angka!" sqref="AI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ate" showErrorMessage="1" errorTitle="Kesalahan Jenis Data" error="Data yang dimasukkan harus berupa tanggal!" sqref="N22">
      <formula1>0</formula1>
      <formula2>2958465.99999999</formula2>
    </dataValidation>
    <dataValidation type="date" showErrorMessage="1" errorTitle="Kesalahan Jenis Data" error="Data yang dimasukkan harus berupa tanggal!" sqref="O22">
      <formula1>0</formula1>
      <formula2>2958465.99999999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V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AB22">
      <formula1>-1000000000000000000</formula1>
      <formula2>1000000000000000000</formula2>
    </dataValidation>
    <dataValidation type="decimal" showErrorMessage="1" errorTitle="Kesalahan Jenis Data" error="Data yang dimasukkan harus berupa Angka!" sqref="AC22">
      <formula1>-1000000000000000000</formula1>
      <formula2>1000000000000000000</formula2>
    </dataValidation>
    <dataValidation type="decimal" showErrorMessage="1" errorTitle="Kesalahan Jenis Data" error="Data yang dimasukkan harus berupa Angka!" sqref="AD22">
      <formula1>-1000000000000000000</formula1>
      <formula2>1000000000000000000</formula2>
    </dataValidation>
    <dataValidation type="decimal" showErrorMessage="1" errorTitle="Kesalahan Jenis Data" error="Data yang dimasukkan harus berupa Angka!" sqref="AE22">
      <formula1>-1000000000000000000</formula1>
      <formula2>1000000000000000000</formula2>
    </dataValidation>
    <dataValidation type="decimal" showErrorMessage="1" errorTitle="Kesalahan Jenis Data" error="Data yang dimasukkan harus berupa Angka!" sqref="AF22">
      <formula1>-1000000000000000000</formula1>
      <formula2>1000000000000000000</formula2>
    </dataValidation>
    <dataValidation type="decimal" showErrorMessage="1" errorTitle="Kesalahan Jenis Data" error="Data yang dimasukkan harus berupa Angka!" sqref="AG22">
      <formula1>-1000000000000000000</formula1>
      <formula2>1000000000000000000</formula2>
    </dataValidation>
    <dataValidation type="decimal" showErrorMessage="1" errorTitle="Kesalahan Jenis Data" error="Data yang dimasukkan harus berupa Angka!" sqref="AH22">
      <formula1>-1000000000000000000</formula1>
      <formula2>1000000000000000000</formula2>
    </dataValidation>
    <dataValidation type="decimal" showErrorMessage="1" errorTitle="Kesalahan Jenis Data" error="Data yang dimasukkan harus berupa Angka!" sqref="AI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ate" showErrorMessage="1" errorTitle="Kesalahan Jenis Data" error="Data yang dimasukkan harus berupa tanggal!" sqref="N23">
      <formula1>0</formula1>
      <formula2>2958465.99999999</formula2>
    </dataValidation>
    <dataValidation type="date" showErrorMessage="1" errorTitle="Kesalahan Jenis Data" error="Data yang dimasukkan harus berupa tanggal!" sqref="O23">
      <formula1>0</formula1>
      <formula2>2958465.99999999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V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AB23">
      <formula1>-1000000000000000000</formula1>
      <formula2>1000000000000000000</formula2>
    </dataValidation>
    <dataValidation type="decimal" showErrorMessage="1" errorTitle="Kesalahan Jenis Data" error="Data yang dimasukkan harus berupa Angka!" sqref="AC23">
      <formula1>-1000000000000000000</formula1>
      <formula2>1000000000000000000</formula2>
    </dataValidation>
    <dataValidation type="decimal" showErrorMessage="1" errorTitle="Kesalahan Jenis Data" error="Data yang dimasukkan harus berupa Angka!" sqref="AD23">
      <formula1>-1000000000000000000</formula1>
      <formula2>1000000000000000000</formula2>
    </dataValidation>
    <dataValidation type="decimal" showErrorMessage="1" errorTitle="Kesalahan Jenis Data" error="Data yang dimasukkan harus berupa Angka!" sqref="AE23">
      <formula1>-1000000000000000000</formula1>
      <formula2>1000000000000000000</formula2>
    </dataValidation>
    <dataValidation type="decimal" showErrorMessage="1" errorTitle="Kesalahan Jenis Data" error="Data yang dimasukkan harus berupa Angka!" sqref="AF23">
      <formula1>-1000000000000000000</formula1>
      <formula2>1000000000000000000</formula2>
    </dataValidation>
    <dataValidation type="decimal" showErrorMessage="1" errorTitle="Kesalahan Jenis Data" error="Data yang dimasukkan harus berupa Angka!" sqref="AG23">
      <formula1>-1000000000000000000</formula1>
      <formula2>1000000000000000000</formula2>
    </dataValidation>
    <dataValidation type="decimal" showErrorMessage="1" errorTitle="Kesalahan Jenis Data" error="Data yang dimasukkan harus berupa Angka!" sqref="AH23">
      <formula1>-1000000000000000000</formula1>
      <formula2>1000000000000000000</formula2>
    </dataValidation>
    <dataValidation type="decimal" showErrorMessage="1" errorTitle="Kesalahan Jenis Data" error="Data yang dimasukkan harus berupa Angka!" sqref="AI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ate" showErrorMessage="1" errorTitle="Kesalahan Jenis Data" error="Data yang dimasukkan harus berupa tanggal!" sqref="N24">
      <formula1>0</formula1>
      <formula2>2958465.99999999</formula2>
    </dataValidation>
    <dataValidation type="date" showErrorMessage="1" errorTitle="Kesalahan Jenis Data" error="Data yang dimasukkan harus berupa tanggal!" sqref="O24">
      <formula1>0</formula1>
      <formula2>2958465.99999999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V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AB24">
      <formula1>-1000000000000000000</formula1>
      <formula2>1000000000000000000</formula2>
    </dataValidation>
    <dataValidation type="decimal" showErrorMessage="1" errorTitle="Kesalahan Jenis Data" error="Data yang dimasukkan harus berupa Angka!" sqref="AC24">
      <formula1>-1000000000000000000</formula1>
      <formula2>1000000000000000000</formula2>
    </dataValidation>
    <dataValidation type="decimal" showErrorMessage="1" errorTitle="Kesalahan Jenis Data" error="Data yang dimasukkan harus berupa Angka!" sqref="AD24">
      <formula1>-1000000000000000000</formula1>
      <formula2>1000000000000000000</formula2>
    </dataValidation>
    <dataValidation type="decimal" showErrorMessage="1" errorTitle="Kesalahan Jenis Data" error="Data yang dimasukkan harus berupa Angka!" sqref="AE24">
      <formula1>-1000000000000000000</formula1>
      <formula2>1000000000000000000</formula2>
    </dataValidation>
    <dataValidation type="decimal" showErrorMessage="1" errorTitle="Kesalahan Jenis Data" error="Data yang dimasukkan harus berupa Angka!" sqref="AF24">
      <formula1>-1000000000000000000</formula1>
      <formula2>1000000000000000000</formula2>
    </dataValidation>
    <dataValidation type="decimal" showErrorMessage="1" errorTitle="Kesalahan Jenis Data" error="Data yang dimasukkan harus berupa Angka!" sqref="AG24">
      <formula1>-1000000000000000000</formula1>
      <formula2>1000000000000000000</formula2>
    </dataValidation>
    <dataValidation type="decimal" showErrorMessage="1" errorTitle="Kesalahan Jenis Data" error="Data yang dimasukkan harus berupa Angka!" sqref="AH24">
      <formula1>-1000000000000000000</formula1>
      <formula2>1000000000000000000</formula2>
    </dataValidation>
    <dataValidation type="decimal" showErrorMessage="1" errorTitle="Kesalahan Jenis Data" error="Data yang dimasukkan harus berupa Angka!" sqref="AI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ate" showErrorMessage="1" errorTitle="Kesalahan Jenis Data" error="Data yang dimasukkan harus berupa tanggal!" sqref="N25">
      <formula1>0</formula1>
      <formula2>2958465.99999999</formula2>
    </dataValidation>
    <dataValidation type="date" showErrorMessage="1" errorTitle="Kesalahan Jenis Data" error="Data yang dimasukkan harus berupa tanggal!" sqref="O25">
      <formula1>0</formula1>
      <formula2>2958465.99999999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V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AB25">
      <formula1>-1000000000000000000</formula1>
      <formula2>1000000000000000000</formula2>
    </dataValidation>
    <dataValidation type="decimal" showErrorMessage="1" errorTitle="Kesalahan Jenis Data" error="Data yang dimasukkan harus berupa Angka!" sqref="AC25">
      <formula1>-1000000000000000000</formula1>
      <formula2>1000000000000000000</formula2>
    </dataValidation>
    <dataValidation type="decimal" showErrorMessage="1" errorTitle="Kesalahan Jenis Data" error="Data yang dimasukkan harus berupa Angka!" sqref="AD25">
      <formula1>-1000000000000000000</formula1>
      <formula2>1000000000000000000</formula2>
    </dataValidation>
    <dataValidation type="decimal" showErrorMessage="1" errorTitle="Kesalahan Jenis Data" error="Data yang dimasukkan harus berupa Angka!" sqref="AE25">
      <formula1>-1000000000000000000</formula1>
      <formula2>1000000000000000000</formula2>
    </dataValidation>
    <dataValidation type="decimal" showErrorMessage="1" errorTitle="Kesalahan Jenis Data" error="Data yang dimasukkan harus berupa Angka!" sqref="AF25">
      <formula1>-1000000000000000000</formula1>
      <formula2>1000000000000000000</formula2>
    </dataValidation>
    <dataValidation type="decimal" showErrorMessage="1" errorTitle="Kesalahan Jenis Data" error="Data yang dimasukkan harus berupa Angka!" sqref="AG25">
      <formula1>-1000000000000000000</formula1>
      <formula2>1000000000000000000</formula2>
    </dataValidation>
    <dataValidation type="decimal" showErrorMessage="1" errorTitle="Kesalahan Jenis Data" error="Data yang dimasukkan harus berupa Angka!" sqref="AH25">
      <formula1>-1000000000000000000</formula1>
      <formula2>1000000000000000000</formula2>
    </dataValidation>
    <dataValidation type="decimal" showErrorMessage="1" errorTitle="Kesalahan Jenis Data" error="Data yang dimasukkan harus berupa Angka!" sqref="AI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ate" showErrorMessage="1" errorTitle="Kesalahan Jenis Data" error="Data yang dimasukkan harus berupa tanggal!" sqref="N26">
      <formula1>0</formula1>
      <formula2>2958465.99999999</formula2>
    </dataValidation>
    <dataValidation type="date" showErrorMessage="1" errorTitle="Kesalahan Jenis Data" error="Data yang dimasukkan harus berupa tanggal!" sqref="O26">
      <formula1>0</formula1>
      <formula2>2958465.99999999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V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AB26">
      <formula1>-1000000000000000000</formula1>
      <formula2>1000000000000000000</formula2>
    </dataValidation>
    <dataValidation type="decimal" showErrorMessage="1" errorTitle="Kesalahan Jenis Data" error="Data yang dimasukkan harus berupa Angka!" sqref="AC26">
      <formula1>-1000000000000000000</formula1>
      <formula2>1000000000000000000</formula2>
    </dataValidation>
    <dataValidation type="decimal" showErrorMessage="1" errorTitle="Kesalahan Jenis Data" error="Data yang dimasukkan harus berupa Angka!" sqref="AD26">
      <formula1>-1000000000000000000</formula1>
      <formula2>1000000000000000000</formula2>
    </dataValidation>
    <dataValidation type="decimal" showErrorMessage="1" errorTitle="Kesalahan Jenis Data" error="Data yang dimasukkan harus berupa Angka!" sqref="AE26">
      <formula1>-1000000000000000000</formula1>
      <formula2>1000000000000000000</formula2>
    </dataValidation>
    <dataValidation type="decimal" showErrorMessage="1" errorTitle="Kesalahan Jenis Data" error="Data yang dimasukkan harus berupa Angka!" sqref="AF26">
      <formula1>-1000000000000000000</formula1>
      <formula2>1000000000000000000</formula2>
    </dataValidation>
    <dataValidation type="decimal" showErrorMessage="1" errorTitle="Kesalahan Jenis Data" error="Data yang dimasukkan harus berupa Angka!" sqref="AG26">
      <formula1>-1000000000000000000</formula1>
      <formula2>1000000000000000000</formula2>
    </dataValidation>
    <dataValidation type="decimal" showErrorMessage="1" errorTitle="Kesalahan Jenis Data" error="Data yang dimasukkan harus berupa Angka!" sqref="AH26">
      <formula1>-1000000000000000000</formula1>
      <formula2>1000000000000000000</formula2>
    </dataValidation>
    <dataValidation type="decimal" showErrorMessage="1" errorTitle="Kesalahan Jenis Data" error="Data yang dimasukkan harus berupa Angka!" sqref="AI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ate" showErrorMessage="1" errorTitle="Kesalahan Jenis Data" error="Data yang dimasukkan harus berupa tanggal!" sqref="N27">
      <formula1>0</formula1>
      <formula2>2958465.99999999</formula2>
    </dataValidation>
    <dataValidation type="date" showErrorMessage="1" errorTitle="Kesalahan Jenis Data" error="Data yang dimasukkan harus berupa tanggal!" sqref="O27">
      <formula1>0</formula1>
      <formula2>2958465.99999999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V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AB27">
      <formula1>-1000000000000000000</formula1>
      <formula2>1000000000000000000</formula2>
    </dataValidation>
    <dataValidation type="decimal" showErrorMessage="1" errorTitle="Kesalahan Jenis Data" error="Data yang dimasukkan harus berupa Angka!" sqref="AC27">
      <formula1>-1000000000000000000</formula1>
      <formula2>1000000000000000000</formula2>
    </dataValidation>
    <dataValidation type="decimal" showErrorMessage="1" errorTitle="Kesalahan Jenis Data" error="Data yang dimasukkan harus berupa Angka!" sqref="AD27">
      <formula1>-1000000000000000000</formula1>
      <formula2>1000000000000000000</formula2>
    </dataValidation>
    <dataValidation type="decimal" showErrorMessage="1" errorTitle="Kesalahan Jenis Data" error="Data yang dimasukkan harus berupa Angka!" sqref="AE27">
      <formula1>-1000000000000000000</formula1>
      <formula2>1000000000000000000</formula2>
    </dataValidation>
    <dataValidation type="decimal" showErrorMessage="1" errorTitle="Kesalahan Jenis Data" error="Data yang dimasukkan harus berupa Angka!" sqref="AF27">
      <formula1>-1000000000000000000</formula1>
      <formula2>1000000000000000000</formula2>
    </dataValidation>
    <dataValidation type="decimal" showErrorMessage="1" errorTitle="Kesalahan Jenis Data" error="Data yang dimasukkan harus berupa Angka!" sqref="AG27">
      <formula1>-1000000000000000000</formula1>
      <formula2>1000000000000000000</formula2>
    </dataValidation>
    <dataValidation type="decimal" showErrorMessage="1" errorTitle="Kesalahan Jenis Data" error="Data yang dimasukkan harus berupa Angka!" sqref="AH27">
      <formula1>-1000000000000000000</formula1>
      <formula2>1000000000000000000</formula2>
    </dataValidation>
    <dataValidation type="decimal" showErrorMessage="1" errorTitle="Kesalahan Jenis Data" error="Data yang dimasukkan harus berupa Angka!" sqref="AI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ate" showErrorMessage="1" errorTitle="Kesalahan Jenis Data" error="Data yang dimasukkan harus berupa tanggal!" sqref="N28">
      <formula1>0</formula1>
      <formula2>2958465.99999999</formula2>
    </dataValidation>
    <dataValidation type="date" showErrorMessage="1" errorTitle="Kesalahan Jenis Data" error="Data yang dimasukkan harus berupa tanggal!" sqref="O28">
      <formula1>0</formula1>
      <formula2>2958465.99999999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V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AB28">
      <formula1>-1000000000000000000</formula1>
      <formula2>1000000000000000000</formula2>
    </dataValidation>
    <dataValidation type="decimal" showErrorMessage="1" errorTitle="Kesalahan Jenis Data" error="Data yang dimasukkan harus berupa Angka!" sqref="AC28">
      <formula1>-1000000000000000000</formula1>
      <formula2>1000000000000000000</formula2>
    </dataValidation>
    <dataValidation type="decimal" showErrorMessage="1" errorTitle="Kesalahan Jenis Data" error="Data yang dimasukkan harus berupa Angka!" sqref="AD28">
      <formula1>-1000000000000000000</formula1>
      <formula2>1000000000000000000</formula2>
    </dataValidation>
    <dataValidation type="decimal" showErrorMessage="1" errorTitle="Kesalahan Jenis Data" error="Data yang dimasukkan harus berupa Angka!" sqref="AE28">
      <formula1>-1000000000000000000</formula1>
      <formula2>1000000000000000000</formula2>
    </dataValidation>
    <dataValidation type="decimal" showErrorMessage="1" errorTitle="Kesalahan Jenis Data" error="Data yang dimasukkan harus berupa Angka!" sqref="AF28">
      <formula1>-1000000000000000000</formula1>
      <formula2>1000000000000000000</formula2>
    </dataValidation>
    <dataValidation type="decimal" showErrorMessage="1" errorTitle="Kesalahan Jenis Data" error="Data yang dimasukkan harus berupa Angka!" sqref="AG28">
      <formula1>-1000000000000000000</formula1>
      <formula2>1000000000000000000</formula2>
    </dataValidation>
    <dataValidation type="decimal" showErrorMessage="1" errorTitle="Kesalahan Jenis Data" error="Data yang dimasukkan harus berupa Angka!" sqref="AH28">
      <formula1>-1000000000000000000</formula1>
      <formula2>1000000000000000000</formula2>
    </dataValidation>
    <dataValidation type="decimal" showErrorMessage="1" errorTitle="Kesalahan Jenis Data" error="Data yang dimasukkan harus berupa Angka!" sqref="AI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ate" showErrorMessage="1" errorTitle="Kesalahan Jenis Data" error="Data yang dimasukkan harus berupa tanggal!" sqref="N29">
      <formula1>0</formula1>
      <formula2>2958465.99999999</formula2>
    </dataValidation>
    <dataValidation type="date" showErrorMessage="1" errorTitle="Kesalahan Jenis Data" error="Data yang dimasukkan harus berupa tanggal!" sqref="O29">
      <formula1>0</formula1>
      <formula2>2958465.99999999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V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AB29">
      <formula1>-1000000000000000000</formula1>
      <formula2>1000000000000000000</formula2>
    </dataValidation>
    <dataValidation type="decimal" showErrorMessage="1" errorTitle="Kesalahan Jenis Data" error="Data yang dimasukkan harus berupa Angka!" sqref="AC29">
      <formula1>-1000000000000000000</formula1>
      <formula2>1000000000000000000</formula2>
    </dataValidation>
    <dataValidation type="decimal" showErrorMessage="1" errorTitle="Kesalahan Jenis Data" error="Data yang dimasukkan harus berupa Angka!" sqref="AD29">
      <formula1>-1000000000000000000</formula1>
      <formula2>1000000000000000000</formula2>
    </dataValidation>
    <dataValidation type="decimal" showErrorMessage="1" errorTitle="Kesalahan Jenis Data" error="Data yang dimasukkan harus berupa Angka!" sqref="AE29">
      <formula1>-1000000000000000000</formula1>
      <formula2>1000000000000000000</formula2>
    </dataValidation>
    <dataValidation type="decimal" showErrorMessage="1" errorTitle="Kesalahan Jenis Data" error="Data yang dimasukkan harus berupa Angka!" sqref="AF29">
      <formula1>-1000000000000000000</formula1>
      <formula2>1000000000000000000</formula2>
    </dataValidation>
    <dataValidation type="decimal" showErrorMessage="1" errorTitle="Kesalahan Jenis Data" error="Data yang dimasukkan harus berupa Angka!" sqref="AG29">
      <formula1>-1000000000000000000</formula1>
      <formula2>1000000000000000000</formula2>
    </dataValidation>
    <dataValidation type="decimal" showErrorMessage="1" errorTitle="Kesalahan Jenis Data" error="Data yang dimasukkan harus berupa Angka!" sqref="AH29">
      <formula1>-1000000000000000000</formula1>
      <formula2>1000000000000000000</formula2>
    </dataValidation>
    <dataValidation type="decimal" showErrorMessage="1" errorTitle="Kesalahan Jenis Data" error="Data yang dimasukkan harus berupa Angka!" sqref="AI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ate" showErrorMessage="1" errorTitle="Kesalahan Jenis Data" error="Data yang dimasukkan harus berupa tanggal!" sqref="N30">
      <formula1>0</formula1>
      <formula2>2958465.99999999</formula2>
    </dataValidation>
    <dataValidation type="date" showErrorMessage="1" errorTitle="Kesalahan Jenis Data" error="Data yang dimasukkan harus berupa tanggal!" sqref="O30">
      <formula1>0</formula1>
      <formula2>2958465.99999999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V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AB30">
      <formula1>-1000000000000000000</formula1>
      <formula2>1000000000000000000</formula2>
    </dataValidation>
    <dataValidation type="decimal" showErrorMessage="1" errorTitle="Kesalahan Jenis Data" error="Data yang dimasukkan harus berupa Angka!" sqref="AC30">
      <formula1>-1000000000000000000</formula1>
      <formula2>1000000000000000000</formula2>
    </dataValidation>
    <dataValidation type="decimal" showErrorMessage="1" errorTitle="Kesalahan Jenis Data" error="Data yang dimasukkan harus berupa Angka!" sqref="AD30">
      <formula1>-1000000000000000000</formula1>
      <formula2>1000000000000000000</formula2>
    </dataValidation>
    <dataValidation type="decimal" showErrorMessage="1" errorTitle="Kesalahan Jenis Data" error="Data yang dimasukkan harus berupa Angka!" sqref="AE30">
      <formula1>-1000000000000000000</formula1>
      <formula2>1000000000000000000</formula2>
    </dataValidation>
    <dataValidation type="decimal" showErrorMessage="1" errorTitle="Kesalahan Jenis Data" error="Data yang dimasukkan harus berupa Angka!" sqref="AF30">
      <formula1>-1000000000000000000</formula1>
      <formula2>1000000000000000000</formula2>
    </dataValidation>
    <dataValidation type="decimal" showErrorMessage="1" errorTitle="Kesalahan Jenis Data" error="Data yang dimasukkan harus berupa Angka!" sqref="AG30">
      <formula1>-1000000000000000000</formula1>
      <formula2>1000000000000000000</formula2>
    </dataValidation>
    <dataValidation type="decimal" showErrorMessage="1" errorTitle="Kesalahan Jenis Data" error="Data yang dimasukkan harus berupa Angka!" sqref="AH30">
      <formula1>-1000000000000000000</formula1>
      <formula2>1000000000000000000</formula2>
    </dataValidation>
    <dataValidation type="decimal" showErrorMessage="1" errorTitle="Kesalahan Jenis Data" error="Data yang dimasukkan harus berupa Angka!" sqref="AI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ate" showErrorMessage="1" errorTitle="Kesalahan Jenis Data" error="Data yang dimasukkan harus berupa tanggal!" sqref="N31">
      <formula1>0</formula1>
      <formula2>2958465.99999999</formula2>
    </dataValidation>
    <dataValidation type="date" showErrorMessage="1" errorTitle="Kesalahan Jenis Data" error="Data yang dimasukkan harus berupa tanggal!" sqref="O31">
      <formula1>0</formula1>
      <formula2>2958465.99999999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V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Z31">
      <formula1>-1000000000000000000</formula1>
      <formula2>1000000000000000000</formula2>
    </dataValidation>
    <dataValidation type="decimal" showErrorMessage="1" errorTitle="Kesalahan Jenis Data" error="Data yang dimasukkan harus berupa Angka!" sqref="AA31">
      <formula1>-1000000000000000000</formula1>
      <formula2>1000000000000000000</formula2>
    </dataValidation>
    <dataValidation type="decimal" showErrorMessage="1" errorTitle="Kesalahan Jenis Data" error="Data yang dimasukkan harus berupa Angka!" sqref="AB31">
      <formula1>-1000000000000000000</formula1>
      <formula2>1000000000000000000</formula2>
    </dataValidation>
    <dataValidation type="decimal" showErrorMessage="1" errorTitle="Kesalahan Jenis Data" error="Data yang dimasukkan harus berupa Angka!" sqref="AC31">
      <formula1>-1000000000000000000</formula1>
      <formula2>1000000000000000000</formula2>
    </dataValidation>
    <dataValidation type="decimal" showErrorMessage="1" errorTitle="Kesalahan Jenis Data" error="Data yang dimasukkan harus berupa Angka!" sqref="AD31">
      <formula1>-1000000000000000000</formula1>
      <formula2>1000000000000000000</formula2>
    </dataValidation>
    <dataValidation type="decimal" showErrorMessage="1" errorTitle="Kesalahan Jenis Data" error="Data yang dimasukkan harus berupa Angka!" sqref="AE31">
      <formula1>-1000000000000000000</formula1>
      <formula2>1000000000000000000</formula2>
    </dataValidation>
    <dataValidation type="decimal" showErrorMessage="1" errorTitle="Kesalahan Jenis Data" error="Data yang dimasukkan harus berupa Angka!" sqref="AF31">
      <formula1>-1000000000000000000</formula1>
      <formula2>1000000000000000000</formula2>
    </dataValidation>
    <dataValidation type="decimal" showErrorMessage="1" errorTitle="Kesalahan Jenis Data" error="Data yang dimasukkan harus berupa Angka!" sqref="AG31">
      <formula1>-1000000000000000000</formula1>
      <formula2>1000000000000000000</formula2>
    </dataValidation>
    <dataValidation type="decimal" showErrorMessage="1" errorTitle="Kesalahan Jenis Data" error="Data yang dimasukkan harus berupa Angka!" sqref="AH31">
      <formula1>-1000000000000000000</formula1>
      <formula2>1000000000000000000</formula2>
    </dataValidation>
    <dataValidation type="decimal" showErrorMessage="1" errorTitle="Kesalahan Jenis Data" error="Data yang dimasukkan harus berupa Angka!" sqref="AI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ate" showErrorMessage="1" errorTitle="Kesalahan Jenis Data" error="Data yang dimasukkan harus berupa tanggal!" sqref="N32">
      <formula1>0</formula1>
      <formula2>2958465.99999999</formula2>
    </dataValidation>
    <dataValidation type="date" showErrorMessage="1" errorTitle="Kesalahan Jenis Data" error="Data yang dimasukkan harus berupa tanggal!" sqref="O32">
      <formula1>0</formula1>
      <formula2>2958465.99999999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V32">
      <formula1>-1000000000000000000</formula1>
      <formula2>1000000000000000000</formula2>
    </dataValidation>
    <dataValidation type="decimal" showErrorMessage="1" errorTitle="Kesalahan Jenis Data" error="Data yang dimasukkan harus berupa Angka!" sqref="W32">
      <formula1>-1000000000000000000</formula1>
      <formula2>1000000000000000000</formula2>
    </dataValidation>
    <dataValidation type="decimal" showErrorMessage="1" errorTitle="Kesalahan Jenis Data" error="Data yang dimasukkan harus berupa Angka!" sqref="X32">
      <formula1>-1000000000000000000</formula1>
      <formula2>1000000000000000000</formula2>
    </dataValidation>
    <dataValidation type="decimal" showErrorMessage="1" errorTitle="Kesalahan Jenis Data" error="Data yang dimasukkan harus berupa Angka!" sqref="Y32">
      <formula1>-1000000000000000000</formula1>
      <formula2>1000000000000000000</formula2>
    </dataValidation>
    <dataValidation type="decimal" showErrorMessage="1" errorTitle="Kesalahan Jenis Data" error="Data yang dimasukkan harus berupa Angka!" sqref="Z32">
      <formula1>-1000000000000000000</formula1>
      <formula2>1000000000000000000</formula2>
    </dataValidation>
    <dataValidation type="decimal" showErrorMessage="1" errorTitle="Kesalahan Jenis Data" error="Data yang dimasukkan harus berupa Angka!" sqref="AA32">
      <formula1>-1000000000000000000</formula1>
      <formula2>1000000000000000000</formula2>
    </dataValidation>
    <dataValidation type="decimal" showErrorMessage="1" errorTitle="Kesalahan Jenis Data" error="Data yang dimasukkan harus berupa Angka!" sqref="AB32">
      <formula1>-1000000000000000000</formula1>
      <formula2>1000000000000000000</formula2>
    </dataValidation>
    <dataValidation type="decimal" showErrorMessage="1" errorTitle="Kesalahan Jenis Data" error="Data yang dimasukkan harus berupa Angka!" sqref="AC32">
      <formula1>-1000000000000000000</formula1>
      <formula2>1000000000000000000</formula2>
    </dataValidation>
    <dataValidation type="decimal" showErrorMessage="1" errorTitle="Kesalahan Jenis Data" error="Data yang dimasukkan harus berupa Angka!" sqref="AD32">
      <formula1>-1000000000000000000</formula1>
      <formula2>1000000000000000000</formula2>
    </dataValidation>
    <dataValidation type="decimal" showErrorMessage="1" errorTitle="Kesalahan Jenis Data" error="Data yang dimasukkan harus berupa Angka!" sqref="AE32">
      <formula1>-1000000000000000000</formula1>
      <formula2>1000000000000000000</formula2>
    </dataValidation>
    <dataValidation type="decimal" showErrorMessage="1" errorTitle="Kesalahan Jenis Data" error="Data yang dimasukkan harus berupa Angka!" sqref="AF32">
      <formula1>-1000000000000000000</formula1>
      <formula2>1000000000000000000</formula2>
    </dataValidation>
    <dataValidation type="decimal" showErrorMessage="1" errorTitle="Kesalahan Jenis Data" error="Data yang dimasukkan harus berupa Angka!" sqref="AG32">
      <formula1>-1000000000000000000</formula1>
      <formula2>1000000000000000000</formula2>
    </dataValidation>
    <dataValidation type="decimal" showErrorMessage="1" errorTitle="Kesalahan Jenis Data" error="Data yang dimasukkan harus berupa Angka!" sqref="AH32">
      <formula1>-1000000000000000000</formula1>
      <formula2>1000000000000000000</formula2>
    </dataValidation>
    <dataValidation type="decimal" showErrorMessage="1" errorTitle="Kesalahan Jenis Data" error="Data yang dimasukkan harus berupa Angka!" sqref="AI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ate" showErrorMessage="1" errorTitle="Kesalahan Jenis Data" error="Data yang dimasukkan harus berupa tanggal!" sqref="N33">
      <formula1>0</formula1>
      <formula2>2958465.99999999</formula2>
    </dataValidation>
    <dataValidation type="date" showErrorMessage="1" errorTitle="Kesalahan Jenis Data" error="Data yang dimasukkan harus berupa tanggal!" sqref="O33">
      <formula1>0</formula1>
      <formula2>2958465.99999999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V33">
      <formula1>-1000000000000000000</formula1>
      <formula2>1000000000000000000</formula2>
    </dataValidation>
    <dataValidation type="decimal" showErrorMessage="1" errorTitle="Kesalahan Jenis Data" error="Data yang dimasukkan harus berupa Angka!" sqref="W33">
      <formula1>-1000000000000000000</formula1>
      <formula2>1000000000000000000</formula2>
    </dataValidation>
    <dataValidation type="decimal" showErrorMessage="1" errorTitle="Kesalahan Jenis Data" error="Data yang dimasukkan harus berupa Angka!" sqref="X33">
      <formula1>-1000000000000000000</formula1>
      <formula2>1000000000000000000</formula2>
    </dataValidation>
    <dataValidation type="decimal" showErrorMessage="1" errorTitle="Kesalahan Jenis Data" error="Data yang dimasukkan harus berupa Angka!" sqref="Y33">
      <formula1>-1000000000000000000</formula1>
      <formula2>1000000000000000000</formula2>
    </dataValidation>
    <dataValidation type="decimal" showErrorMessage="1" errorTitle="Kesalahan Jenis Data" error="Data yang dimasukkan harus berupa Angka!" sqref="Z33">
      <formula1>-1000000000000000000</formula1>
      <formula2>1000000000000000000</formula2>
    </dataValidation>
    <dataValidation type="decimal" showErrorMessage="1" errorTitle="Kesalahan Jenis Data" error="Data yang dimasukkan harus berupa Angka!" sqref="AA33">
      <formula1>-1000000000000000000</formula1>
      <formula2>1000000000000000000</formula2>
    </dataValidation>
    <dataValidation type="decimal" showErrorMessage="1" errorTitle="Kesalahan Jenis Data" error="Data yang dimasukkan harus berupa Angka!" sqref="AB33">
      <formula1>-1000000000000000000</formula1>
      <formula2>1000000000000000000</formula2>
    </dataValidation>
    <dataValidation type="decimal" showErrorMessage="1" errorTitle="Kesalahan Jenis Data" error="Data yang dimasukkan harus berupa Angka!" sqref="AC33">
      <formula1>-1000000000000000000</formula1>
      <formula2>1000000000000000000</formula2>
    </dataValidation>
    <dataValidation type="decimal" showErrorMessage="1" errorTitle="Kesalahan Jenis Data" error="Data yang dimasukkan harus berupa Angka!" sqref="AD33">
      <formula1>-1000000000000000000</formula1>
      <formula2>1000000000000000000</formula2>
    </dataValidation>
    <dataValidation type="decimal" showErrorMessage="1" errorTitle="Kesalahan Jenis Data" error="Data yang dimasukkan harus berupa Angka!" sqref="AE33">
      <formula1>-1000000000000000000</formula1>
      <formula2>1000000000000000000</formula2>
    </dataValidation>
    <dataValidation type="decimal" showErrorMessage="1" errorTitle="Kesalahan Jenis Data" error="Data yang dimasukkan harus berupa Angka!" sqref="AF33">
      <formula1>-1000000000000000000</formula1>
      <formula2>1000000000000000000</formula2>
    </dataValidation>
    <dataValidation type="decimal" showErrorMessage="1" errorTitle="Kesalahan Jenis Data" error="Data yang dimasukkan harus berupa Angka!" sqref="AG33">
      <formula1>-1000000000000000000</formula1>
      <formula2>1000000000000000000</formula2>
    </dataValidation>
    <dataValidation type="decimal" showErrorMessage="1" errorTitle="Kesalahan Jenis Data" error="Data yang dimasukkan harus berupa Angka!" sqref="AH33">
      <formula1>-1000000000000000000</formula1>
      <formula2>1000000000000000000</formula2>
    </dataValidation>
    <dataValidation type="decimal" showErrorMessage="1" errorTitle="Kesalahan Jenis Data" error="Data yang dimasukkan harus berupa Angka!" sqref="AI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ate" showErrorMessage="1" errorTitle="Kesalahan Jenis Data" error="Data yang dimasukkan harus berupa tanggal!" sqref="N34">
      <formula1>0</formula1>
      <formula2>2958465.99999999</formula2>
    </dataValidation>
    <dataValidation type="date" showErrorMessage="1" errorTitle="Kesalahan Jenis Data" error="Data yang dimasukkan harus berupa tanggal!" sqref="O34">
      <formula1>0</formula1>
      <formula2>2958465.99999999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V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Z34">
      <formula1>-1000000000000000000</formula1>
      <formula2>1000000000000000000</formula2>
    </dataValidation>
    <dataValidation type="decimal" showErrorMessage="1" errorTitle="Kesalahan Jenis Data" error="Data yang dimasukkan harus berupa Angka!" sqref="AA34">
      <formula1>-1000000000000000000</formula1>
      <formula2>1000000000000000000</formula2>
    </dataValidation>
    <dataValidation type="decimal" showErrorMessage="1" errorTitle="Kesalahan Jenis Data" error="Data yang dimasukkan harus berupa Angka!" sqref="AB34">
      <formula1>-1000000000000000000</formula1>
      <formula2>1000000000000000000</formula2>
    </dataValidation>
    <dataValidation type="decimal" showErrorMessage="1" errorTitle="Kesalahan Jenis Data" error="Data yang dimasukkan harus berupa Angka!" sqref="AC34">
      <formula1>-1000000000000000000</formula1>
      <formula2>1000000000000000000</formula2>
    </dataValidation>
    <dataValidation type="decimal" showErrorMessage="1" errorTitle="Kesalahan Jenis Data" error="Data yang dimasukkan harus berupa Angka!" sqref="AD34">
      <formula1>-1000000000000000000</formula1>
      <formula2>1000000000000000000</formula2>
    </dataValidation>
    <dataValidation type="decimal" showErrorMessage="1" errorTitle="Kesalahan Jenis Data" error="Data yang dimasukkan harus berupa Angka!" sqref="AE34">
      <formula1>-1000000000000000000</formula1>
      <formula2>1000000000000000000</formula2>
    </dataValidation>
    <dataValidation type="decimal" showErrorMessage="1" errorTitle="Kesalahan Jenis Data" error="Data yang dimasukkan harus berupa Angka!" sqref="AF34">
      <formula1>-1000000000000000000</formula1>
      <formula2>1000000000000000000</formula2>
    </dataValidation>
    <dataValidation type="decimal" showErrorMessage="1" errorTitle="Kesalahan Jenis Data" error="Data yang dimasukkan harus berupa Angka!" sqref="AG34">
      <formula1>-1000000000000000000</formula1>
      <formula2>1000000000000000000</formula2>
    </dataValidation>
    <dataValidation type="decimal" showErrorMessage="1" errorTitle="Kesalahan Jenis Data" error="Data yang dimasukkan harus berupa Angka!" sqref="AH34">
      <formula1>-1000000000000000000</formula1>
      <formula2>1000000000000000000</formula2>
    </dataValidation>
    <dataValidation type="decimal" showErrorMessage="1" errorTitle="Kesalahan Jenis Data" error="Data yang dimasukkan harus berupa Angka!" sqref="AI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ate" showErrorMessage="1" errorTitle="Kesalahan Jenis Data" error="Data yang dimasukkan harus berupa tanggal!" sqref="N35">
      <formula1>0</formula1>
      <formula2>2958465.99999999</formula2>
    </dataValidation>
    <dataValidation type="date" showErrorMessage="1" errorTitle="Kesalahan Jenis Data" error="Data yang dimasukkan harus berupa tanggal!" sqref="O35">
      <formula1>0</formula1>
      <formula2>2958465.99999999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V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AB35">
      <formula1>-1000000000000000000</formula1>
      <formula2>1000000000000000000</formula2>
    </dataValidation>
    <dataValidation type="decimal" showErrorMessage="1" errorTitle="Kesalahan Jenis Data" error="Data yang dimasukkan harus berupa Angka!" sqref="AC35">
      <formula1>-1000000000000000000</formula1>
      <formula2>1000000000000000000</formula2>
    </dataValidation>
    <dataValidation type="decimal" showErrorMessage="1" errorTitle="Kesalahan Jenis Data" error="Data yang dimasukkan harus berupa Angka!" sqref="AD35">
      <formula1>-1000000000000000000</formula1>
      <formula2>1000000000000000000</formula2>
    </dataValidation>
    <dataValidation type="decimal" showErrorMessage="1" errorTitle="Kesalahan Jenis Data" error="Data yang dimasukkan harus berupa Angka!" sqref="AE35">
      <formula1>-1000000000000000000</formula1>
      <formula2>1000000000000000000</formula2>
    </dataValidation>
    <dataValidation type="decimal" showErrorMessage="1" errorTitle="Kesalahan Jenis Data" error="Data yang dimasukkan harus berupa Angka!" sqref="AF35">
      <formula1>-1000000000000000000</formula1>
      <formula2>1000000000000000000</formula2>
    </dataValidation>
    <dataValidation type="decimal" showErrorMessage="1" errorTitle="Kesalahan Jenis Data" error="Data yang dimasukkan harus berupa Angka!" sqref="AG35">
      <formula1>-1000000000000000000</formula1>
      <formula2>1000000000000000000</formula2>
    </dataValidation>
    <dataValidation type="decimal" showErrorMessage="1" errorTitle="Kesalahan Jenis Data" error="Data yang dimasukkan harus berupa Angka!" sqref="AH35">
      <formula1>-1000000000000000000</formula1>
      <formula2>1000000000000000000</formula2>
    </dataValidation>
    <dataValidation type="decimal" showErrorMessage="1" errorTitle="Kesalahan Jenis Data" error="Data yang dimasukkan harus berupa Angka!" sqref="AI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ate" showErrorMessage="1" errorTitle="Kesalahan Jenis Data" error="Data yang dimasukkan harus berupa tanggal!" sqref="N36">
      <formula1>0</formula1>
      <formula2>2958465.99999999</formula2>
    </dataValidation>
    <dataValidation type="date" showErrorMessage="1" errorTitle="Kesalahan Jenis Data" error="Data yang dimasukkan harus berupa tanggal!" sqref="O36">
      <formula1>0</formula1>
      <formula2>2958465.99999999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V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AB36">
      <formula1>-1000000000000000000</formula1>
      <formula2>1000000000000000000</formula2>
    </dataValidation>
    <dataValidation type="decimal" showErrorMessage="1" errorTitle="Kesalahan Jenis Data" error="Data yang dimasukkan harus berupa Angka!" sqref="AC36">
      <formula1>-1000000000000000000</formula1>
      <formula2>1000000000000000000</formula2>
    </dataValidation>
    <dataValidation type="decimal" showErrorMessage="1" errorTitle="Kesalahan Jenis Data" error="Data yang dimasukkan harus berupa Angka!" sqref="AD36">
      <formula1>-1000000000000000000</formula1>
      <formula2>1000000000000000000</formula2>
    </dataValidation>
    <dataValidation type="decimal" showErrorMessage="1" errorTitle="Kesalahan Jenis Data" error="Data yang dimasukkan harus berupa Angka!" sqref="AE36">
      <formula1>-1000000000000000000</formula1>
      <formula2>1000000000000000000</formula2>
    </dataValidation>
    <dataValidation type="decimal" showErrorMessage="1" errorTitle="Kesalahan Jenis Data" error="Data yang dimasukkan harus berupa Angka!" sqref="AF36">
      <formula1>-1000000000000000000</formula1>
      <formula2>1000000000000000000</formula2>
    </dataValidation>
    <dataValidation type="decimal" showErrorMessage="1" errorTitle="Kesalahan Jenis Data" error="Data yang dimasukkan harus berupa Angka!" sqref="AG36">
      <formula1>-1000000000000000000</formula1>
      <formula2>1000000000000000000</formula2>
    </dataValidation>
    <dataValidation type="decimal" showErrorMessage="1" errorTitle="Kesalahan Jenis Data" error="Data yang dimasukkan harus berupa Angka!" sqref="AH36">
      <formula1>-1000000000000000000</formula1>
      <formula2>1000000000000000000</formula2>
    </dataValidation>
    <dataValidation type="decimal" showErrorMessage="1" errorTitle="Kesalahan Jenis Data" error="Data yang dimasukkan harus berupa Angka!" sqref="AI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ate" showErrorMessage="1" errorTitle="Kesalahan Jenis Data" error="Data yang dimasukkan harus berupa tanggal!" sqref="N37">
      <formula1>0</formula1>
      <formula2>2958465.99999999</formula2>
    </dataValidation>
    <dataValidation type="date" showErrorMessage="1" errorTitle="Kesalahan Jenis Data" error="Data yang dimasukkan harus berupa tanggal!" sqref="O37">
      <formula1>0</formula1>
      <formula2>2958465.99999999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V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AB37">
      <formula1>-1000000000000000000</formula1>
      <formula2>1000000000000000000</formula2>
    </dataValidation>
    <dataValidation type="decimal" showErrorMessage="1" errorTitle="Kesalahan Jenis Data" error="Data yang dimasukkan harus berupa Angka!" sqref="AC37">
      <formula1>-1000000000000000000</formula1>
      <formula2>1000000000000000000</formula2>
    </dataValidation>
    <dataValidation type="decimal" showErrorMessage="1" errorTitle="Kesalahan Jenis Data" error="Data yang dimasukkan harus berupa Angka!" sqref="AD37">
      <formula1>-1000000000000000000</formula1>
      <formula2>1000000000000000000</formula2>
    </dataValidation>
    <dataValidation type="decimal" showErrorMessage="1" errorTitle="Kesalahan Jenis Data" error="Data yang dimasukkan harus berupa Angka!" sqref="AE37">
      <formula1>-1000000000000000000</formula1>
      <formula2>1000000000000000000</formula2>
    </dataValidation>
    <dataValidation type="decimal" showErrorMessage="1" errorTitle="Kesalahan Jenis Data" error="Data yang dimasukkan harus berupa Angka!" sqref="AF37">
      <formula1>-1000000000000000000</formula1>
      <formula2>1000000000000000000</formula2>
    </dataValidation>
    <dataValidation type="decimal" showErrorMessage="1" errorTitle="Kesalahan Jenis Data" error="Data yang dimasukkan harus berupa Angka!" sqref="AG37">
      <formula1>-1000000000000000000</formula1>
      <formula2>1000000000000000000</formula2>
    </dataValidation>
    <dataValidation type="decimal" showErrorMessage="1" errorTitle="Kesalahan Jenis Data" error="Data yang dimasukkan harus berupa Angka!" sqref="AH37">
      <formula1>-1000000000000000000</formula1>
      <formula2>1000000000000000000</formula2>
    </dataValidation>
    <dataValidation type="decimal" showErrorMessage="1" errorTitle="Kesalahan Jenis Data" error="Data yang dimasukkan harus berupa Angka!" sqref="AI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ate" showErrorMessage="1" errorTitle="Kesalahan Jenis Data" error="Data yang dimasukkan harus berupa tanggal!" sqref="N38">
      <formula1>0</formula1>
      <formula2>2958465.99999999</formula2>
    </dataValidation>
    <dataValidation type="date" showErrorMessage="1" errorTitle="Kesalahan Jenis Data" error="Data yang dimasukkan harus berupa tanggal!" sqref="O38">
      <formula1>0</formula1>
      <formula2>2958465.99999999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V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AB38">
      <formula1>-1000000000000000000</formula1>
      <formula2>1000000000000000000</formula2>
    </dataValidation>
    <dataValidation type="decimal" showErrorMessage="1" errorTitle="Kesalahan Jenis Data" error="Data yang dimasukkan harus berupa Angka!" sqref="AC38">
      <formula1>-1000000000000000000</formula1>
      <formula2>1000000000000000000</formula2>
    </dataValidation>
    <dataValidation type="decimal" showErrorMessage="1" errorTitle="Kesalahan Jenis Data" error="Data yang dimasukkan harus berupa Angka!" sqref="AD38">
      <formula1>-1000000000000000000</formula1>
      <formula2>1000000000000000000</formula2>
    </dataValidation>
    <dataValidation type="decimal" showErrorMessage="1" errorTitle="Kesalahan Jenis Data" error="Data yang dimasukkan harus berupa Angka!" sqref="AE38">
      <formula1>-1000000000000000000</formula1>
      <formula2>1000000000000000000</formula2>
    </dataValidation>
    <dataValidation type="decimal" showErrorMessage="1" errorTitle="Kesalahan Jenis Data" error="Data yang dimasukkan harus berupa Angka!" sqref="AF38">
      <formula1>-1000000000000000000</formula1>
      <formula2>1000000000000000000</formula2>
    </dataValidation>
    <dataValidation type="decimal" showErrorMessage="1" errorTitle="Kesalahan Jenis Data" error="Data yang dimasukkan harus berupa Angka!" sqref="AG38">
      <formula1>-1000000000000000000</formula1>
      <formula2>1000000000000000000</formula2>
    </dataValidation>
    <dataValidation type="decimal" showErrorMessage="1" errorTitle="Kesalahan Jenis Data" error="Data yang dimasukkan harus berupa Angka!" sqref="AH38">
      <formula1>-1000000000000000000</formula1>
      <formula2>1000000000000000000</formula2>
    </dataValidation>
    <dataValidation type="decimal" showErrorMessage="1" errorTitle="Kesalahan Jenis Data" error="Data yang dimasukkan harus berupa Angka!" sqref="AI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ate" showErrorMessage="1" errorTitle="Kesalahan Jenis Data" error="Data yang dimasukkan harus berupa tanggal!" sqref="N39">
      <formula1>0</formula1>
      <formula2>2958465.99999999</formula2>
    </dataValidation>
    <dataValidation type="date" showErrorMessage="1" errorTitle="Kesalahan Jenis Data" error="Data yang dimasukkan harus berupa tanggal!" sqref="O39">
      <formula1>0</formula1>
      <formula2>2958465.99999999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V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AB39">
      <formula1>-1000000000000000000</formula1>
      <formula2>1000000000000000000</formula2>
    </dataValidation>
    <dataValidation type="decimal" showErrorMessage="1" errorTitle="Kesalahan Jenis Data" error="Data yang dimasukkan harus berupa Angka!" sqref="AC39">
      <formula1>-1000000000000000000</formula1>
      <formula2>1000000000000000000</formula2>
    </dataValidation>
    <dataValidation type="decimal" showErrorMessage="1" errorTitle="Kesalahan Jenis Data" error="Data yang dimasukkan harus berupa Angka!" sqref="AD39">
      <formula1>-1000000000000000000</formula1>
      <formula2>1000000000000000000</formula2>
    </dataValidation>
    <dataValidation type="decimal" showErrorMessage="1" errorTitle="Kesalahan Jenis Data" error="Data yang dimasukkan harus berupa Angka!" sqref="AE39">
      <formula1>-1000000000000000000</formula1>
      <formula2>1000000000000000000</formula2>
    </dataValidation>
    <dataValidation type="decimal" showErrorMessage="1" errorTitle="Kesalahan Jenis Data" error="Data yang dimasukkan harus berupa Angka!" sqref="AF39">
      <formula1>-1000000000000000000</formula1>
      <formula2>1000000000000000000</formula2>
    </dataValidation>
    <dataValidation type="decimal" showErrorMessage="1" errorTitle="Kesalahan Jenis Data" error="Data yang dimasukkan harus berupa Angka!" sqref="AG39">
      <formula1>-1000000000000000000</formula1>
      <formula2>1000000000000000000</formula2>
    </dataValidation>
    <dataValidation type="decimal" showErrorMessage="1" errorTitle="Kesalahan Jenis Data" error="Data yang dimasukkan harus berupa Angka!" sqref="AH39">
      <formula1>-1000000000000000000</formula1>
      <formula2>1000000000000000000</formula2>
    </dataValidation>
    <dataValidation type="decimal" showErrorMessage="1" errorTitle="Kesalahan Jenis Data" error="Data yang dimasukkan harus berupa Angka!" sqref="AI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ate" showErrorMessage="1" errorTitle="Kesalahan Jenis Data" error="Data yang dimasukkan harus berupa tanggal!" sqref="N40">
      <formula1>0</formula1>
      <formula2>2958465.99999999</formula2>
    </dataValidation>
    <dataValidation type="date" showErrorMessage="1" errorTitle="Kesalahan Jenis Data" error="Data yang dimasukkan harus berupa tanggal!" sqref="O40">
      <formula1>0</formula1>
      <formula2>2958465.99999999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V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AB40">
      <formula1>-1000000000000000000</formula1>
      <formula2>1000000000000000000</formula2>
    </dataValidation>
    <dataValidation type="decimal" showErrorMessage="1" errorTitle="Kesalahan Jenis Data" error="Data yang dimasukkan harus berupa Angka!" sqref="AC40">
      <formula1>-1000000000000000000</formula1>
      <formula2>1000000000000000000</formula2>
    </dataValidation>
    <dataValidation type="decimal" showErrorMessage="1" errorTitle="Kesalahan Jenis Data" error="Data yang dimasukkan harus berupa Angka!" sqref="AD40">
      <formula1>-1000000000000000000</formula1>
      <formula2>1000000000000000000</formula2>
    </dataValidation>
    <dataValidation type="decimal" showErrorMessage="1" errorTitle="Kesalahan Jenis Data" error="Data yang dimasukkan harus berupa Angka!" sqref="AE40">
      <formula1>-1000000000000000000</formula1>
      <formula2>1000000000000000000</formula2>
    </dataValidation>
    <dataValidation type="decimal" showErrorMessage="1" errorTitle="Kesalahan Jenis Data" error="Data yang dimasukkan harus berupa Angka!" sqref="AF40">
      <formula1>-1000000000000000000</formula1>
      <formula2>1000000000000000000</formula2>
    </dataValidation>
    <dataValidation type="decimal" showErrorMessage="1" errorTitle="Kesalahan Jenis Data" error="Data yang dimasukkan harus berupa Angka!" sqref="AG40">
      <formula1>-1000000000000000000</formula1>
      <formula2>1000000000000000000</formula2>
    </dataValidation>
    <dataValidation type="decimal" showErrorMessage="1" errorTitle="Kesalahan Jenis Data" error="Data yang dimasukkan harus berupa Angka!" sqref="AH40">
      <formula1>-1000000000000000000</formula1>
      <formula2>1000000000000000000</formula2>
    </dataValidation>
    <dataValidation type="decimal" showErrorMessage="1" errorTitle="Kesalahan Jenis Data" error="Data yang dimasukkan harus berupa Angka!" sqref="AI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ate" showErrorMessage="1" errorTitle="Kesalahan Jenis Data" error="Data yang dimasukkan harus berupa tanggal!" sqref="N41">
      <formula1>0</formula1>
      <formula2>2958465.99999999</formula2>
    </dataValidation>
    <dataValidation type="date" showErrorMessage="1" errorTitle="Kesalahan Jenis Data" error="Data yang dimasukkan harus berupa tanggal!" sqref="O41">
      <formula1>0</formula1>
      <formula2>2958465.99999999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V41">
      <formula1>-1000000000000000000</formula1>
      <formula2>1000000000000000000</formula2>
    </dataValidation>
    <dataValidation type="decimal" showErrorMessage="1" errorTitle="Kesalahan Jenis Data" error="Data yang dimasukkan harus berupa Angka!" sqref="W41">
      <formula1>-1000000000000000000</formula1>
      <formula2>1000000000000000000</formula2>
    </dataValidation>
    <dataValidation type="decimal" showErrorMessage="1" errorTitle="Kesalahan Jenis Data" error="Data yang dimasukkan harus berupa Angka!" sqref="X41">
      <formula1>-1000000000000000000</formula1>
      <formula2>1000000000000000000</formula2>
    </dataValidation>
    <dataValidation type="decimal" showErrorMessage="1" errorTitle="Kesalahan Jenis Data" error="Data yang dimasukkan harus berupa Angka!" sqref="Y41">
      <formula1>-1000000000000000000</formula1>
      <formula2>1000000000000000000</formula2>
    </dataValidation>
    <dataValidation type="decimal" showErrorMessage="1" errorTitle="Kesalahan Jenis Data" error="Data yang dimasukkan harus berupa Angka!" sqref="Z41">
      <formula1>-1000000000000000000</formula1>
      <formula2>1000000000000000000</formula2>
    </dataValidation>
    <dataValidation type="decimal" showErrorMessage="1" errorTitle="Kesalahan Jenis Data" error="Data yang dimasukkan harus berupa Angka!" sqref="AA41">
      <formula1>-1000000000000000000</formula1>
      <formula2>1000000000000000000</formula2>
    </dataValidation>
    <dataValidation type="decimal" showErrorMessage="1" errorTitle="Kesalahan Jenis Data" error="Data yang dimasukkan harus berupa Angka!" sqref="AB41">
      <formula1>-1000000000000000000</formula1>
      <formula2>1000000000000000000</formula2>
    </dataValidation>
    <dataValidation type="decimal" showErrorMessage="1" errorTitle="Kesalahan Jenis Data" error="Data yang dimasukkan harus berupa Angka!" sqref="AC41">
      <formula1>-1000000000000000000</formula1>
      <formula2>1000000000000000000</formula2>
    </dataValidation>
    <dataValidation type="decimal" showErrorMessage="1" errorTitle="Kesalahan Jenis Data" error="Data yang dimasukkan harus berupa Angka!" sqref="AD41">
      <formula1>-1000000000000000000</formula1>
      <formula2>1000000000000000000</formula2>
    </dataValidation>
    <dataValidation type="decimal" showErrorMessage="1" errorTitle="Kesalahan Jenis Data" error="Data yang dimasukkan harus berupa Angka!" sqref="AE41">
      <formula1>-1000000000000000000</formula1>
      <formula2>1000000000000000000</formula2>
    </dataValidation>
    <dataValidation type="decimal" showErrorMessage="1" errorTitle="Kesalahan Jenis Data" error="Data yang dimasukkan harus berupa Angka!" sqref="AF41">
      <formula1>-1000000000000000000</formula1>
      <formula2>1000000000000000000</formula2>
    </dataValidation>
    <dataValidation type="decimal" showErrorMessage="1" errorTitle="Kesalahan Jenis Data" error="Data yang dimasukkan harus berupa Angka!" sqref="AG41">
      <formula1>-1000000000000000000</formula1>
      <formula2>1000000000000000000</formula2>
    </dataValidation>
    <dataValidation type="decimal" showErrorMessage="1" errorTitle="Kesalahan Jenis Data" error="Data yang dimasukkan harus berupa Angka!" sqref="AH41">
      <formula1>-1000000000000000000</formula1>
      <formula2>1000000000000000000</formula2>
    </dataValidation>
    <dataValidation type="decimal" showErrorMessage="1" errorTitle="Kesalahan Jenis Data" error="Data yang dimasukkan harus berupa Angka!" sqref="AI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ate" showErrorMessage="1" errorTitle="Kesalahan Jenis Data" error="Data yang dimasukkan harus berupa tanggal!" sqref="N42">
      <formula1>0</formula1>
      <formula2>2958465.99999999</formula2>
    </dataValidation>
    <dataValidation type="date" showErrorMessage="1" errorTitle="Kesalahan Jenis Data" error="Data yang dimasukkan harus berupa tanggal!" sqref="O42">
      <formula1>0</formula1>
      <formula2>2958465.99999999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V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AB42">
      <formula1>-1000000000000000000</formula1>
      <formula2>1000000000000000000</formula2>
    </dataValidation>
    <dataValidation type="decimal" showErrorMessage="1" errorTitle="Kesalahan Jenis Data" error="Data yang dimasukkan harus berupa Angka!" sqref="AC42">
      <formula1>-1000000000000000000</formula1>
      <formula2>1000000000000000000</formula2>
    </dataValidation>
    <dataValidation type="decimal" showErrorMessage="1" errorTitle="Kesalahan Jenis Data" error="Data yang dimasukkan harus berupa Angka!" sqref="AD42">
      <formula1>-1000000000000000000</formula1>
      <formula2>1000000000000000000</formula2>
    </dataValidation>
    <dataValidation type="decimal" showErrorMessage="1" errorTitle="Kesalahan Jenis Data" error="Data yang dimasukkan harus berupa Angka!" sqref="AE42">
      <formula1>-1000000000000000000</formula1>
      <formula2>1000000000000000000</formula2>
    </dataValidation>
    <dataValidation type="decimal" showErrorMessage="1" errorTitle="Kesalahan Jenis Data" error="Data yang dimasukkan harus berupa Angka!" sqref="AF42">
      <formula1>-1000000000000000000</formula1>
      <formula2>1000000000000000000</formula2>
    </dataValidation>
    <dataValidation type="decimal" showErrorMessage="1" errorTitle="Kesalahan Jenis Data" error="Data yang dimasukkan harus berupa Angka!" sqref="AG42">
      <formula1>-1000000000000000000</formula1>
      <formula2>1000000000000000000</formula2>
    </dataValidation>
    <dataValidation type="decimal" showErrorMessage="1" errorTitle="Kesalahan Jenis Data" error="Data yang dimasukkan harus berupa Angka!" sqref="AH42">
      <formula1>-1000000000000000000</formula1>
      <formula2>1000000000000000000</formula2>
    </dataValidation>
    <dataValidation type="decimal" showErrorMessage="1" errorTitle="Kesalahan Jenis Data" error="Data yang dimasukkan harus berupa Angka!" sqref="AI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ate" showErrorMessage="1" errorTitle="Kesalahan Jenis Data" error="Data yang dimasukkan harus berupa tanggal!" sqref="N43">
      <formula1>0</formula1>
      <formula2>2958465.99999999</formula2>
    </dataValidation>
    <dataValidation type="date" showErrorMessage="1" errorTitle="Kesalahan Jenis Data" error="Data yang dimasukkan harus berupa tanggal!" sqref="O43">
      <formula1>0</formula1>
      <formula2>2958465.99999999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V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AB43">
      <formula1>-1000000000000000000</formula1>
      <formula2>1000000000000000000</formula2>
    </dataValidation>
    <dataValidation type="decimal" showErrorMessage="1" errorTitle="Kesalahan Jenis Data" error="Data yang dimasukkan harus berupa Angka!" sqref="AC43">
      <formula1>-1000000000000000000</formula1>
      <formula2>1000000000000000000</formula2>
    </dataValidation>
    <dataValidation type="decimal" showErrorMessage="1" errorTitle="Kesalahan Jenis Data" error="Data yang dimasukkan harus berupa Angka!" sqref="AD43">
      <formula1>-1000000000000000000</formula1>
      <formula2>1000000000000000000</formula2>
    </dataValidation>
    <dataValidation type="decimal" showErrorMessage="1" errorTitle="Kesalahan Jenis Data" error="Data yang dimasukkan harus berupa Angka!" sqref="AE43">
      <formula1>-1000000000000000000</formula1>
      <formula2>1000000000000000000</formula2>
    </dataValidation>
    <dataValidation type="decimal" showErrorMessage="1" errorTitle="Kesalahan Jenis Data" error="Data yang dimasukkan harus berupa Angka!" sqref="AF43">
      <formula1>-1000000000000000000</formula1>
      <formula2>1000000000000000000</formula2>
    </dataValidation>
    <dataValidation type="decimal" showErrorMessage="1" errorTitle="Kesalahan Jenis Data" error="Data yang dimasukkan harus berupa Angka!" sqref="AG43">
      <formula1>-1000000000000000000</formula1>
      <formula2>1000000000000000000</formula2>
    </dataValidation>
    <dataValidation type="decimal" showErrorMessage="1" errorTitle="Kesalahan Jenis Data" error="Data yang dimasukkan harus berupa Angka!" sqref="AH43">
      <formula1>-1000000000000000000</formula1>
      <formula2>1000000000000000000</formula2>
    </dataValidation>
    <dataValidation type="decimal" showErrorMessage="1" errorTitle="Kesalahan Jenis Data" error="Data yang dimasukkan harus berupa Angka!" sqref="AI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ate" showErrorMessage="1" errorTitle="Kesalahan Jenis Data" error="Data yang dimasukkan harus berupa tanggal!" sqref="N44">
      <formula1>0</formula1>
      <formula2>2958465.99999999</formula2>
    </dataValidation>
    <dataValidation type="date" showErrorMessage="1" errorTitle="Kesalahan Jenis Data" error="Data yang dimasukkan harus berupa tanggal!" sqref="O44">
      <formula1>0</formula1>
      <formula2>2958465.99999999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V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AB44">
      <formula1>-1000000000000000000</formula1>
      <formula2>1000000000000000000</formula2>
    </dataValidation>
    <dataValidation type="decimal" showErrorMessage="1" errorTitle="Kesalahan Jenis Data" error="Data yang dimasukkan harus berupa Angka!" sqref="AC44">
      <formula1>-1000000000000000000</formula1>
      <formula2>1000000000000000000</formula2>
    </dataValidation>
    <dataValidation type="decimal" showErrorMessage="1" errorTitle="Kesalahan Jenis Data" error="Data yang dimasukkan harus berupa Angka!" sqref="AD44">
      <formula1>-1000000000000000000</formula1>
      <formula2>1000000000000000000</formula2>
    </dataValidation>
    <dataValidation type="decimal" showErrorMessage="1" errorTitle="Kesalahan Jenis Data" error="Data yang dimasukkan harus berupa Angka!" sqref="AE44">
      <formula1>-1000000000000000000</formula1>
      <formula2>1000000000000000000</formula2>
    </dataValidation>
    <dataValidation type="decimal" showErrorMessage="1" errorTitle="Kesalahan Jenis Data" error="Data yang dimasukkan harus berupa Angka!" sqref="AF44">
      <formula1>-1000000000000000000</formula1>
      <formula2>1000000000000000000</formula2>
    </dataValidation>
    <dataValidation type="decimal" showErrorMessage="1" errorTitle="Kesalahan Jenis Data" error="Data yang dimasukkan harus berupa Angka!" sqref="AG44">
      <formula1>-1000000000000000000</formula1>
      <formula2>1000000000000000000</formula2>
    </dataValidation>
    <dataValidation type="decimal" showErrorMessage="1" errorTitle="Kesalahan Jenis Data" error="Data yang dimasukkan harus berupa Angka!" sqref="AH44">
      <formula1>-1000000000000000000</formula1>
      <formula2>1000000000000000000</formula2>
    </dataValidation>
    <dataValidation type="decimal" showErrorMessage="1" errorTitle="Kesalahan Jenis Data" error="Data yang dimasukkan harus berupa Angka!" sqref="AI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ate" showErrorMessage="1" errorTitle="Kesalahan Jenis Data" error="Data yang dimasukkan harus berupa tanggal!" sqref="N45">
      <formula1>0</formula1>
      <formula2>2958465.99999999</formula2>
    </dataValidation>
    <dataValidation type="date" showErrorMessage="1" errorTitle="Kesalahan Jenis Data" error="Data yang dimasukkan harus berupa tanggal!" sqref="O45">
      <formula1>0</formula1>
      <formula2>2958465.99999999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V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AB45">
      <formula1>-1000000000000000000</formula1>
      <formula2>1000000000000000000</formula2>
    </dataValidation>
    <dataValidation type="decimal" showErrorMessage="1" errorTitle="Kesalahan Jenis Data" error="Data yang dimasukkan harus berupa Angka!" sqref="AC45">
      <formula1>-1000000000000000000</formula1>
      <formula2>1000000000000000000</formula2>
    </dataValidation>
    <dataValidation type="decimal" showErrorMessage="1" errorTitle="Kesalahan Jenis Data" error="Data yang dimasukkan harus berupa Angka!" sqref="AD45">
      <formula1>-1000000000000000000</formula1>
      <formula2>1000000000000000000</formula2>
    </dataValidation>
    <dataValidation type="decimal" showErrorMessage="1" errorTitle="Kesalahan Jenis Data" error="Data yang dimasukkan harus berupa Angka!" sqref="AE45">
      <formula1>-1000000000000000000</formula1>
      <formula2>1000000000000000000</formula2>
    </dataValidation>
    <dataValidation type="decimal" showErrorMessage="1" errorTitle="Kesalahan Jenis Data" error="Data yang dimasukkan harus berupa Angka!" sqref="AF45">
      <formula1>-1000000000000000000</formula1>
      <formula2>1000000000000000000</formula2>
    </dataValidation>
    <dataValidation type="decimal" showErrorMessage="1" errorTitle="Kesalahan Jenis Data" error="Data yang dimasukkan harus berupa Angka!" sqref="AG45">
      <formula1>-1000000000000000000</formula1>
      <formula2>1000000000000000000</formula2>
    </dataValidation>
    <dataValidation type="decimal" showErrorMessage="1" errorTitle="Kesalahan Jenis Data" error="Data yang dimasukkan harus berupa Angka!" sqref="AH45">
      <formula1>-1000000000000000000</formula1>
      <formula2>1000000000000000000</formula2>
    </dataValidation>
    <dataValidation type="decimal" showErrorMessage="1" errorTitle="Kesalahan Jenis Data" error="Data yang dimasukkan harus berupa Angka!" sqref="AI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ate" showErrorMessage="1" errorTitle="Kesalahan Jenis Data" error="Data yang dimasukkan harus berupa tanggal!" sqref="N46">
      <formula1>0</formula1>
      <formula2>2958465.99999999</formula2>
    </dataValidation>
    <dataValidation type="date" showErrorMessage="1" errorTitle="Kesalahan Jenis Data" error="Data yang dimasukkan harus berupa tanggal!" sqref="O46">
      <formula1>0</formula1>
      <formula2>2958465.99999999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V46">
      <formula1>-1000000000000000000</formula1>
      <formula2>1000000000000000000</formula2>
    </dataValidation>
    <dataValidation type="decimal" showErrorMessage="1" errorTitle="Kesalahan Jenis Data" error="Data yang dimasukkan harus berupa Angka!" sqref="W46">
      <formula1>-1000000000000000000</formula1>
      <formula2>1000000000000000000</formula2>
    </dataValidation>
    <dataValidation type="decimal" showErrorMessage="1" errorTitle="Kesalahan Jenis Data" error="Data yang dimasukkan harus berupa Angka!" sqref="X46">
      <formula1>-1000000000000000000</formula1>
      <formula2>1000000000000000000</formula2>
    </dataValidation>
    <dataValidation type="decimal" showErrorMessage="1" errorTitle="Kesalahan Jenis Data" error="Data yang dimasukkan harus berupa Angka!" sqref="Y46">
      <formula1>-1000000000000000000</formula1>
      <formula2>1000000000000000000</formula2>
    </dataValidation>
    <dataValidation type="decimal" showErrorMessage="1" errorTitle="Kesalahan Jenis Data" error="Data yang dimasukkan harus berupa Angka!" sqref="Z46">
      <formula1>-1000000000000000000</formula1>
      <formula2>1000000000000000000</formula2>
    </dataValidation>
    <dataValidation type="decimal" showErrorMessage="1" errorTitle="Kesalahan Jenis Data" error="Data yang dimasukkan harus berupa Angka!" sqref="AA46">
      <formula1>-1000000000000000000</formula1>
      <formula2>1000000000000000000</formula2>
    </dataValidation>
    <dataValidation type="decimal" showErrorMessage="1" errorTitle="Kesalahan Jenis Data" error="Data yang dimasukkan harus berupa Angka!" sqref="AB46">
      <formula1>-1000000000000000000</formula1>
      <formula2>1000000000000000000</formula2>
    </dataValidation>
    <dataValidation type="decimal" showErrorMessage="1" errorTitle="Kesalahan Jenis Data" error="Data yang dimasukkan harus berupa Angka!" sqref="AC46">
      <formula1>-1000000000000000000</formula1>
      <formula2>1000000000000000000</formula2>
    </dataValidation>
    <dataValidation type="decimal" showErrorMessage="1" errorTitle="Kesalahan Jenis Data" error="Data yang dimasukkan harus berupa Angka!" sqref="AD46">
      <formula1>-1000000000000000000</formula1>
      <formula2>1000000000000000000</formula2>
    </dataValidation>
    <dataValidation type="decimal" showErrorMessage="1" errorTitle="Kesalahan Jenis Data" error="Data yang dimasukkan harus berupa Angka!" sqref="AE46">
      <formula1>-1000000000000000000</formula1>
      <formula2>1000000000000000000</formula2>
    </dataValidation>
    <dataValidation type="decimal" showErrorMessage="1" errorTitle="Kesalahan Jenis Data" error="Data yang dimasukkan harus berupa Angka!" sqref="AF46">
      <formula1>-1000000000000000000</formula1>
      <formula2>1000000000000000000</formula2>
    </dataValidation>
    <dataValidation type="decimal" showErrorMessage="1" errorTitle="Kesalahan Jenis Data" error="Data yang dimasukkan harus berupa Angka!" sqref="AG46">
      <formula1>-1000000000000000000</formula1>
      <formula2>1000000000000000000</formula2>
    </dataValidation>
    <dataValidation type="decimal" showErrorMessage="1" errorTitle="Kesalahan Jenis Data" error="Data yang dimasukkan harus berupa Angka!" sqref="AH46">
      <formula1>-1000000000000000000</formula1>
      <formula2>1000000000000000000</formula2>
    </dataValidation>
    <dataValidation type="decimal" showErrorMessage="1" errorTitle="Kesalahan Jenis Data" error="Data yang dimasukkan harus berupa Angka!" sqref="AI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ate" showErrorMessage="1" errorTitle="Kesalahan Jenis Data" error="Data yang dimasukkan harus berupa tanggal!" sqref="N47">
      <formula1>0</formula1>
      <formula2>2958465.99999999</formula2>
    </dataValidation>
    <dataValidation type="date" showErrorMessage="1" errorTitle="Kesalahan Jenis Data" error="Data yang dimasukkan harus berupa tanggal!" sqref="O47">
      <formula1>0</formula1>
      <formula2>2958465.99999999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V47">
      <formula1>-1000000000000000000</formula1>
      <formula2>1000000000000000000</formula2>
    </dataValidation>
    <dataValidation type="decimal" showErrorMessage="1" errorTitle="Kesalahan Jenis Data" error="Data yang dimasukkan harus berupa Angka!" sqref="W47">
      <formula1>-1000000000000000000</formula1>
      <formula2>1000000000000000000</formula2>
    </dataValidation>
    <dataValidation type="decimal" showErrorMessage="1" errorTitle="Kesalahan Jenis Data" error="Data yang dimasukkan harus berupa Angka!" sqref="X47">
      <formula1>-1000000000000000000</formula1>
      <formula2>1000000000000000000</formula2>
    </dataValidation>
    <dataValidation type="decimal" showErrorMessage="1" errorTitle="Kesalahan Jenis Data" error="Data yang dimasukkan harus berupa Angka!" sqref="Y47">
      <formula1>-1000000000000000000</formula1>
      <formula2>1000000000000000000</formula2>
    </dataValidation>
    <dataValidation type="decimal" showErrorMessage="1" errorTitle="Kesalahan Jenis Data" error="Data yang dimasukkan harus berupa Angka!" sqref="Z47">
      <formula1>-1000000000000000000</formula1>
      <formula2>1000000000000000000</formula2>
    </dataValidation>
    <dataValidation type="decimal" showErrorMessage="1" errorTitle="Kesalahan Jenis Data" error="Data yang dimasukkan harus berupa Angka!" sqref="AA47">
      <formula1>-1000000000000000000</formula1>
      <formula2>1000000000000000000</formula2>
    </dataValidation>
    <dataValidation type="decimal" showErrorMessage="1" errorTitle="Kesalahan Jenis Data" error="Data yang dimasukkan harus berupa Angka!" sqref="AB47">
      <formula1>-1000000000000000000</formula1>
      <formula2>1000000000000000000</formula2>
    </dataValidation>
    <dataValidation type="decimal" showErrorMessage="1" errorTitle="Kesalahan Jenis Data" error="Data yang dimasukkan harus berupa Angka!" sqref="AC47">
      <formula1>-1000000000000000000</formula1>
      <formula2>1000000000000000000</formula2>
    </dataValidation>
    <dataValidation type="decimal" showErrorMessage="1" errorTitle="Kesalahan Jenis Data" error="Data yang dimasukkan harus berupa Angka!" sqref="AD47">
      <formula1>-1000000000000000000</formula1>
      <formula2>1000000000000000000</formula2>
    </dataValidation>
    <dataValidation type="decimal" showErrorMessage="1" errorTitle="Kesalahan Jenis Data" error="Data yang dimasukkan harus berupa Angka!" sqref="AE47">
      <formula1>-1000000000000000000</formula1>
      <formula2>1000000000000000000</formula2>
    </dataValidation>
    <dataValidation type="decimal" showErrorMessage="1" errorTitle="Kesalahan Jenis Data" error="Data yang dimasukkan harus berupa Angka!" sqref="AF47">
      <formula1>-1000000000000000000</formula1>
      <formula2>1000000000000000000</formula2>
    </dataValidation>
    <dataValidation type="decimal" showErrorMessage="1" errorTitle="Kesalahan Jenis Data" error="Data yang dimasukkan harus berupa Angka!" sqref="AG47">
      <formula1>-1000000000000000000</formula1>
      <formula2>1000000000000000000</formula2>
    </dataValidation>
    <dataValidation type="decimal" showErrorMessage="1" errorTitle="Kesalahan Jenis Data" error="Data yang dimasukkan harus berupa Angka!" sqref="AH47">
      <formula1>-1000000000000000000</formula1>
      <formula2>1000000000000000000</formula2>
    </dataValidation>
    <dataValidation type="decimal" showErrorMessage="1" errorTitle="Kesalahan Jenis Data" error="Data yang dimasukkan harus berupa Angka!" sqref="AI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ate" showErrorMessage="1" errorTitle="Kesalahan Jenis Data" error="Data yang dimasukkan harus berupa tanggal!" sqref="N48">
      <formula1>0</formula1>
      <formula2>2958465.99999999</formula2>
    </dataValidation>
    <dataValidation type="date" showErrorMessage="1" errorTitle="Kesalahan Jenis Data" error="Data yang dimasukkan harus berupa tanggal!" sqref="O48">
      <formula1>0</formula1>
      <formula2>2958465.99999999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V48">
      <formula1>-1000000000000000000</formula1>
      <formula2>1000000000000000000</formula2>
    </dataValidation>
    <dataValidation type="decimal" showErrorMessage="1" errorTitle="Kesalahan Jenis Data" error="Data yang dimasukkan harus berupa Angka!" sqref="W48">
      <formula1>-1000000000000000000</formula1>
      <formula2>1000000000000000000</formula2>
    </dataValidation>
    <dataValidation type="decimal" showErrorMessage="1" errorTitle="Kesalahan Jenis Data" error="Data yang dimasukkan harus berupa Angka!" sqref="X48">
      <formula1>-1000000000000000000</formula1>
      <formula2>1000000000000000000</formula2>
    </dataValidation>
    <dataValidation type="decimal" showErrorMessage="1" errorTitle="Kesalahan Jenis Data" error="Data yang dimasukkan harus berupa Angka!" sqref="Y48">
      <formula1>-1000000000000000000</formula1>
      <formula2>1000000000000000000</formula2>
    </dataValidation>
    <dataValidation type="decimal" showErrorMessage="1" errorTitle="Kesalahan Jenis Data" error="Data yang dimasukkan harus berupa Angka!" sqref="Z48">
      <formula1>-1000000000000000000</formula1>
      <formula2>1000000000000000000</formula2>
    </dataValidation>
    <dataValidation type="decimal" showErrorMessage="1" errorTitle="Kesalahan Jenis Data" error="Data yang dimasukkan harus berupa Angka!" sqref="AA48">
      <formula1>-1000000000000000000</formula1>
      <formula2>1000000000000000000</formula2>
    </dataValidation>
    <dataValidation type="decimal" showErrorMessage="1" errorTitle="Kesalahan Jenis Data" error="Data yang dimasukkan harus berupa Angka!" sqref="AB48">
      <formula1>-1000000000000000000</formula1>
      <formula2>1000000000000000000</formula2>
    </dataValidation>
    <dataValidation type="decimal" showErrorMessage="1" errorTitle="Kesalahan Jenis Data" error="Data yang dimasukkan harus berupa Angka!" sqref="AC48">
      <formula1>-1000000000000000000</formula1>
      <formula2>1000000000000000000</formula2>
    </dataValidation>
    <dataValidation type="decimal" showErrorMessage="1" errorTitle="Kesalahan Jenis Data" error="Data yang dimasukkan harus berupa Angka!" sqref="AD48">
      <formula1>-1000000000000000000</formula1>
      <formula2>1000000000000000000</formula2>
    </dataValidation>
    <dataValidation type="decimal" showErrorMessage="1" errorTitle="Kesalahan Jenis Data" error="Data yang dimasukkan harus berupa Angka!" sqref="AE48">
      <formula1>-1000000000000000000</formula1>
      <formula2>1000000000000000000</formula2>
    </dataValidation>
    <dataValidation type="decimal" showErrorMessage="1" errorTitle="Kesalahan Jenis Data" error="Data yang dimasukkan harus berupa Angka!" sqref="AF48">
      <formula1>-1000000000000000000</formula1>
      <formula2>1000000000000000000</formula2>
    </dataValidation>
    <dataValidation type="decimal" showErrorMessage="1" errorTitle="Kesalahan Jenis Data" error="Data yang dimasukkan harus berupa Angka!" sqref="AG48">
      <formula1>-1000000000000000000</formula1>
      <formula2>1000000000000000000</formula2>
    </dataValidation>
    <dataValidation type="decimal" showErrorMessage="1" errorTitle="Kesalahan Jenis Data" error="Data yang dimasukkan harus berupa Angka!" sqref="AH48">
      <formula1>-1000000000000000000</formula1>
      <formula2>1000000000000000000</formula2>
    </dataValidation>
    <dataValidation type="decimal" showErrorMessage="1" errorTitle="Kesalahan Jenis Data" error="Data yang dimasukkan harus berupa Angka!" sqref="AI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ate" showErrorMessage="1" errorTitle="Kesalahan Jenis Data" error="Data yang dimasukkan harus berupa tanggal!" sqref="N49">
      <formula1>0</formula1>
      <formula2>2958465.99999999</formula2>
    </dataValidation>
    <dataValidation type="date" showErrorMessage="1" errorTitle="Kesalahan Jenis Data" error="Data yang dimasukkan harus berupa tanggal!" sqref="O49">
      <formula1>0</formula1>
      <formula2>2958465.99999999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V49">
      <formula1>-1000000000000000000</formula1>
      <formula2>1000000000000000000</formula2>
    </dataValidation>
    <dataValidation type="decimal" showErrorMessage="1" errorTitle="Kesalahan Jenis Data" error="Data yang dimasukkan harus berupa Angka!" sqref="W49">
      <formula1>-1000000000000000000</formula1>
      <formula2>1000000000000000000</formula2>
    </dataValidation>
    <dataValidation type="decimal" showErrorMessage="1" errorTitle="Kesalahan Jenis Data" error="Data yang dimasukkan harus berupa Angka!" sqref="X49">
      <formula1>-1000000000000000000</formula1>
      <formula2>1000000000000000000</formula2>
    </dataValidation>
    <dataValidation type="decimal" showErrorMessage="1" errorTitle="Kesalahan Jenis Data" error="Data yang dimasukkan harus berupa Angka!" sqref="Y49">
      <formula1>-1000000000000000000</formula1>
      <formula2>1000000000000000000</formula2>
    </dataValidation>
    <dataValidation type="decimal" showErrorMessage="1" errorTitle="Kesalahan Jenis Data" error="Data yang dimasukkan harus berupa Angka!" sqref="Z49">
      <formula1>-1000000000000000000</formula1>
      <formula2>1000000000000000000</formula2>
    </dataValidation>
    <dataValidation type="decimal" showErrorMessage="1" errorTitle="Kesalahan Jenis Data" error="Data yang dimasukkan harus berupa Angka!" sqref="AA49">
      <formula1>-1000000000000000000</formula1>
      <formula2>1000000000000000000</formula2>
    </dataValidation>
    <dataValidation type="decimal" showErrorMessage="1" errorTitle="Kesalahan Jenis Data" error="Data yang dimasukkan harus berupa Angka!" sqref="AB49">
      <formula1>-1000000000000000000</formula1>
      <formula2>1000000000000000000</formula2>
    </dataValidation>
    <dataValidation type="decimal" showErrorMessage="1" errorTitle="Kesalahan Jenis Data" error="Data yang dimasukkan harus berupa Angka!" sqref="AC49">
      <formula1>-1000000000000000000</formula1>
      <formula2>1000000000000000000</formula2>
    </dataValidation>
    <dataValidation type="decimal" showErrorMessage="1" errorTitle="Kesalahan Jenis Data" error="Data yang dimasukkan harus berupa Angka!" sqref="AD49">
      <formula1>-1000000000000000000</formula1>
      <formula2>1000000000000000000</formula2>
    </dataValidation>
    <dataValidation type="decimal" showErrorMessage="1" errorTitle="Kesalahan Jenis Data" error="Data yang dimasukkan harus berupa Angka!" sqref="AE49">
      <formula1>-1000000000000000000</formula1>
      <formula2>1000000000000000000</formula2>
    </dataValidation>
    <dataValidation type="decimal" showErrorMessage="1" errorTitle="Kesalahan Jenis Data" error="Data yang dimasukkan harus berupa Angka!" sqref="AF49">
      <formula1>-1000000000000000000</formula1>
      <formula2>1000000000000000000</formula2>
    </dataValidation>
    <dataValidation type="decimal" showErrorMessage="1" errorTitle="Kesalahan Jenis Data" error="Data yang dimasukkan harus berupa Angka!" sqref="AG49">
      <formula1>-1000000000000000000</formula1>
      <formula2>1000000000000000000</formula2>
    </dataValidation>
    <dataValidation type="decimal" showErrorMessage="1" errorTitle="Kesalahan Jenis Data" error="Data yang dimasukkan harus berupa Angka!" sqref="AH49">
      <formula1>-1000000000000000000</formula1>
      <formula2>1000000000000000000</formula2>
    </dataValidation>
    <dataValidation type="decimal" showErrorMessage="1" errorTitle="Kesalahan Jenis Data" error="Data yang dimasukkan harus berupa Angka!" sqref="AI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ate" showErrorMessage="1" errorTitle="Kesalahan Jenis Data" error="Data yang dimasukkan harus berupa tanggal!" sqref="N50">
      <formula1>0</formula1>
      <formula2>2958465.99999999</formula2>
    </dataValidation>
    <dataValidation type="date" showErrorMessage="1" errorTitle="Kesalahan Jenis Data" error="Data yang dimasukkan harus berupa tanggal!" sqref="O50">
      <formula1>0</formula1>
      <formula2>2958465.99999999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V50">
      <formula1>-1000000000000000000</formula1>
      <formula2>1000000000000000000</formula2>
    </dataValidation>
    <dataValidation type="decimal" showErrorMessage="1" errorTitle="Kesalahan Jenis Data" error="Data yang dimasukkan harus berupa Angka!" sqref="W50">
      <formula1>-1000000000000000000</formula1>
      <formula2>1000000000000000000</formula2>
    </dataValidation>
    <dataValidation type="decimal" showErrorMessage="1" errorTitle="Kesalahan Jenis Data" error="Data yang dimasukkan harus berupa Angka!" sqref="X50">
      <formula1>-1000000000000000000</formula1>
      <formula2>1000000000000000000</formula2>
    </dataValidation>
    <dataValidation type="decimal" showErrorMessage="1" errorTitle="Kesalahan Jenis Data" error="Data yang dimasukkan harus berupa Angka!" sqref="Y50">
      <formula1>-1000000000000000000</formula1>
      <formula2>1000000000000000000</formula2>
    </dataValidation>
    <dataValidation type="decimal" showErrorMessage="1" errorTitle="Kesalahan Jenis Data" error="Data yang dimasukkan harus berupa Angka!" sqref="Z50">
      <formula1>-1000000000000000000</formula1>
      <formula2>1000000000000000000</formula2>
    </dataValidation>
    <dataValidation type="decimal" showErrorMessage="1" errorTitle="Kesalahan Jenis Data" error="Data yang dimasukkan harus berupa Angka!" sqref="AA50">
      <formula1>-1000000000000000000</formula1>
      <formula2>1000000000000000000</formula2>
    </dataValidation>
    <dataValidation type="decimal" showErrorMessage="1" errorTitle="Kesalahan Jenis Data" error="Data yang dimasukkan harus berupa Angka!" sqref="AB50">
      <formula1>-1000000000000000000</formula1>
      <formula2>1000000000000000000</formula2>
    </dataValidation>
    <dataValidation type="decimal" showErrorMessage="1" errorTitle="Kesalahan Jenis Data" error="Data yang dimasukkan harus berupa Angka!" sqref="AC50">
      <formula1>-1000000000000000000</formula1>
      <formula2>1000000000000000000</formula2>
    </dataValidation>
    <dataValidation type="decimal" showErrorMessage="1" errorTitle="Kesalahan Jenis Data" error="Data yang dimasukkan harus berupa Angka!" sqref="AD50">
      <formula1>-1000000000000000000</formula1>
      <formula2>1000000000000000000</formula2>
    </dataValidation>
    <dataValidation type="decimal" showErrorMessage="1" errorTitle="Kesalahan Jenis Data" error="Data yang dimasukkan harus berupa Angka!" sqref="AE50">
      <formula1>-1000000000000000000</formula1>
      <formula2>1000000000000000000</formula2>
    </dataValidation>
    <dataValidation type="decimal" showErrorMessage="1" errorTitle="Kesalahan Jenis Data" error="Data yang dimasukkan harus berupa Angka!" sqref="AF50">
      <formula1>-1000000000000000000</formula1>
      <formula2>1000000000000000000</formula2>
    </dataValidation>
    <dataValidation type="decimal" showErrorMessage="1" errorTitle="Kesalahan Jenis Data" error="Data yang dimasukkan harus berupa Angka!" sqref="AG50">
      <formula1>-1000000000000000000</formula1>
      <formula2>1000000000000000000</formula2>
    </dataValidation>
    <dataValidation type="decimal" showErrorMessage="1" errorTitle="Kesalahan Jenis Data" error="Data yang dimasukkan harus berupa Angka!" sqref="AH50">
      <formula1>-1000000000000000000</formula1>
      <formula2>1000000000000000000</formula2>
    </dataValidation>
    <dataValidation type="decimal" showErrorMessage="1" errorTitle="Kesalahan Jenis Data" error="Data yang dimasukkan harus berupa Angka!" sqref="AI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ate" showErrorMessage="1" errorTitle="Kesalahan Jenis Data" error="Data yang dimasukkan harus berupa tanggal!" sqref="N51">
      <formula1>0</formula1>
      <formula2>2958465.99999999</formula2>
    </dataValidation>
    <dataValidation type="date" showErrorMessage="1" errorTitle="Kesalahan Jenis Data" error="Data yang dimasukkan harus berupa tanggal!" sqref="O51">
      <formula1>0</formula1>
      <formula2>2958465.99999999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V51">
      <formula1>-1000000000000000000</formula1>
      <formula2>1000000000000000000</formula2>
    </dataValidation>
    <dataValidation type="decimal" showErrorMessage="1" errorTitle="Kesalahan Jenis Data" error="Data yang dimasukkan harus berupa Angka!" sqref="W51">
      <formula1>-1000000000000000000</formula1>
      <formula2>1000000000000000000</formula2>
    </dataValidation>
    <dataValidation type="decimal" showErrorMessage="1" errorTitle="Kesalahan Jenis Data" error="Data yang dimasukkan harus berupa Angka!" sqref="X51">
      <formula1>-1000000000000000000</formula1>
      <formula2>1000000000000000000</formula2>
    </dataValidation>
    <dataValidation type="decimal" showErrorMessage="1" errorTitle="Kesalahan Jenis Data" error="Data yang dimasukkan harus berupa Angka!" sqref="Y51">
      <formula1>-1000000000000000000</formula1>
      <formula2>1000000000000000000</formula2>
    </dataValidation>
    <dataValidation type="decimal" showErrorMessage="1" errorTitle="Kesalahan Jenis Data" error="Data yang dimasukkan harus berupa Angka!" sqref="Z51">
      <formula1>-1000000000000000000</formula1>
      <formula2>1000000000000000000</formula2>
    </dataValidation>
    <dataValidation type="decimal" showErrorMessage="1" errorTitle="Kesalahan Jenis Data" error="Data yang dimasukkan harus berupa Angka!" sqref="AA51">
      <formula1>-1000000000000000000</formula1>
      <formula2>1000000000000000000</formula2>
    </dataValidation>
    <dataValidation type="decimal" showErrorMessage="1" errorTitle="Kesalahan Jenis Data" error="Data yang dimasukkan harus berupa Angka!" sqref="AB51">
      <formula1>-1000000000000000000</formula1>
      <formula2>1000000000000000000</formula2>
    </dataValidation>
    <dataValidation type="decimal" showErrorMessage="1" errorTitle="Kesalahan Jenis Data" error="Data yang dimasukkan harus berupa Angka!" sqref="AC51">
      <formula1>-1000000000000000000</formula1>
      <formula2>1000000000000000000</formula2>
    </dataValidation>
    <dataValidation type="decimal" showErrorMessage="1" errorTitle="Kesalahan Jenis Data" error="Data yang dimasukkan harus berupa Angka!" sqref="AD51">
      <formula1>-1000000000000000000</formula1>
      <formula2>1000000000000000000</formula2>
    </dataValidation>
    <dataValidation type="decimal" showErrorMessage="1" errorTitle="Kesalahan Jenis Data" error="Data yang dimasukkan harus berupa Angka!" sqref="AE51">
      <formula1>-1000000000000000000</formula1>
      <formula2>1000000000000000000</formula2>
    </dataValidation>
    <dataValidation type="decimal" showErrorMessage="1" errorTitle="Kesalahan Jenis Data" error="Data yang dimasukkan harus berupa Angka!" sqref="AF51">
      <formula1>-1000000000000000000</formula1>
      <formula2>1000000000000000000</formula2>
    </dataValidation>
    <dataValidation type="decimal" showErrorMessage="1" errorTitle="Kesalahan Jenis Data" error="Data yang dimasukkan harus berupa Angka!" sqref="AG51">
      <formula1>-1000000000000000000</formula1>
      <formula2>1000000000000000000</formula2>
    </dataValidation>
    <dataValidation type="decimal" showErrorMessage="1" errorTitle="Kesalahan Jenis Data" error="Data yang dimasukkan harus berupa Angka!" sqref="AH51">
      <formula1>-1000000000000000000</formula1>
      <formula2>1000000000000000000</formula2>
    </dataValidation>
    <dataValidation type="decimal" showErrorMessage="1" errorTitle="Kesalahan Jenis Data" error="Data yang dimasukkan harus berupa Angka!" sqref="AI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ate" showErrorMessage="1" errorTitle="Kesalahan Jenis Data" error="Data yang dimasukkan harus berupa tanggal!" sqref="N52">
      <formula1>0</formula1>
      <formula2>2958465.99999999</formula2>
    </dataValidation>
    <dataValidation type="date" showErrorMessage="1" errorTitle="Kesalahan Jenis Data" error="Data yang dimasukkan harus berupa tanggal!" sqref="O52">
      <formula1>0</formula1>
      <formula2>2958465.99999999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V52">
      <formula1>-1000000000000000000</formula1>
      <formula2>1000000000000000000</formula2>
    </dataValidation>
    <dataValidation type="decimal" showErrorMessage="1" errorTitle="Kesalahan Jenis Data" error="Data yang dimasukkan harus berupa Angka!" sqref="W52">
      <formula1>-1000000000000000000</formula1>
      <formula2>1000000000000000000</formula2>
    </dataValidation>
    <dataValidation type="decimal" showErrorMessage="1" errorTitle="Kesalahan Jenis Data" error="Data yang dimasukkan harus berupa Angka!" sqref="X52">
      <formula1>-1000000000000000000</formula1>
      <formula2>1000000000000000000</formula2>
    </dataValidation>
    <dataValidation type="decimal" showErrorMessage="1" errorTitle="Kesalahan Jenis Data" error="Data yang dimasukkan harus berupa Angka!" sqref="Y52">
      <formula1>-1000000000000000000</formula1>
      <formula2>1000000000000000000</formula2>
    </dataValidation>
    <dataValidation type="decimal" showErrorMessage="1" errorTitle="Kesalahan Jenis Data" error="Data yang dimasukkan harus berupa Angka!" sqref="Z52">
      <formula1>-1000000000000000000</formula1>
      <formula2>1000000000000000000</formula2>
    </dataValidation>
    <dataValidation type="decimal" showErrorMessage="1" errorTitle="Kesalahan Jenis Data" error="Data yang dimasukkan harus berupa Angka!" sqref="AA52">
      <formula1>-1000000000000000000</formula1>
      <formula2>1000000000000000000</formula2>
    </dataValidation>
    <dataValidation type="decimal" showErrorMessage="1" errorTitle="Kesalahan Jenis Data" error="Data yang dimasukkan harus berupa Angka!" sqref="AB52">
      <formula1>-1000000000000000000</formula1>
      <formula2>1000000000000000000</formula2>
    </dataValidation>
    <dataValidation type="decimal" showErrorMessage="1" errorTitle="Kesalahan Jenis Data" error="Data yang dimasukkan harus berupa Angka!" sqref="AC52">
      <formula1>-1000000000000000000</formula1>
      <formula2>1000000000000000000</formula2>
    </dataValidation>
    <dataValidation type="decimal" showErrorMessage="1" errorTitle="Kesalahan Jenis Data" error="Data yang dimasukkan harus berupa Angka!" sqref="AD52">
      <formula1>-1000000000000000000</formula1>
      <formula2>1000000000000000000</formula2>
    </dataValidation>
    <dataValidation type="decimal" showErrorMessage="1" errorTitle="Kesalahan Jenis Data" error="Data yang dimasukkan harus berupa Angka!" sqref="AE52">
      <formula1>-1000000000000000000</formula1>
      <formula2>1000000000000000000</formula2>
    </dataValidation>
    <dataValidation type="decimal" showErrorMessage="1" errorTitle="Kesalahan Jenis Data" error="Data yang dimasukkan harus berupa Angka!" sqref="AF52">
      <formula1>-1000000000000000000</formula1>
      <formula2>1000000000000000000</formula2>
    </dataValidation>
    <dataValidation type="decimal" showErrorMessage="1" errorTitle="Kesalahan Jenis Data" error="Data yang dimasukkan harus berupa Angka!" sqref="AG52">
      <formula1>-1000000000000000000</formula1>
      <formula2>1000000000000000000</formula2>
    </dataValidation>
    <dataValidation type="decimal" showErrorMessage="1" errorTitle="Kesalahan Jenis Data" error="Data yang dimasukkan harus berupa Angka!" sqref="AH52">
      <formula1>-1000000000000000000</formula1>
      <formula2>1000000000000000000</formula2>
    </dataValidation>
    <dataValidation type="decimal" showErrorMessage="1" errorTitle="Kesalahan Jenis Data" error="Data yang dimasukkan harus berupa Angka!" sqref="AI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ate" showErrorMessage="1" errorTitle="Kesalahan Jenis Data" error="Data yang dimasukkan harus berupa tanggal!" sqref="N53">
      <formula1>0</formula1>
      <formula2>2958465.99999999</formula2>
    </dataValidation>
    <dataValidation type="date" showErrorMessage="1" errorTitle="Kesalahan Jenis Data" error="Data yang dimasukkan harus berupa tanggal!" sqref="O53">
      <formula1>0</formula1>
      <formula2>2958465.99999999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V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AB53">
      <formula1>-1000000000000000000</formula1>
      <formula2>1000000000000000000</formula2>
    </dataValidation>
    <dataValidation type="decimal" showErrorMessage="1" errorTitle="Kesalahan Jenis Data" error="Data yang dimasukkan harus berupa Angka!" sqref="AC53">
      <formula1>-1000000000000000000</formula1>
      <formula2>1000000000000000000</formula2>
    </dataValidation>
    <dataValidation type="decimal" showErrorMessage="1" errorTitle="Kesalahan Jenis Data" error="Data yang dimasukkan harus berupa Angka!" sqref="AD53">
      <formula1>-1000000000000000000</formula1>
      <formula2>1000000000000000000</formula2>
    </dataValidation>
    <dataValidation type="decimal" showErrorMessage="1" errorTitle="Kesalahan Jenis Data" error="Data yang dimasukkan harus berupa Angka!" sqref="AE53">
      <formula1>-1000000000000000000</formula1>
      <formula2>1000000000000000000</formula2>
    </dataValidation>
    <dataValidation type="decimal" showErrorMessage="1" errorTitle="Kesalahan Jenis Data" error="Data yang dimasukkan harus berupa Angka!" sqref="AF53">
      <formula1>-1000000000000000000</formula1>
      <formula2>1000000000000000000</formula2>
    </dataValidation>
    <dataValidation type="decimal" showErrorMessage="1" errorTitle="Kesalahan Jenis Data" error="Data yang dimasukkan harus berupa Angka!" sqref="AG53">
      <formula1>-1000000000000000000</formula1>
      <formula2>1000000000000000000</formula2>
    </dataValidation>
    <dataValidation type="decimal" showErrorMessage="1" errorTitle="Kesalahan Jenis Data" error="Data yang dimasukkan harus berupa Angka!" sqref="AH53">
      <formula1>-1000000000000000000</formula1>
      <formula2>1000000000000000000</formula2>
    </dataValidation>
    <dataValidation type="decimal" showErrorMessage="1" errorTitle="Kesalahan Jenis Data" error="Data yang dimasukkan harus berupa Angka!" sqref="AI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ate" showErrorMessage="1" errorTitle="Kesalahan Jenis Data" error="Data yang dimasukkan harus berupa tanggal!" sqref="N54">
      <formula1>0</formula1>
      <formula2>2958465.99999999</formula2>
    </dataValidation>
    <dataValidation type="date" showErrorMessage="1" errorTitle="Kesalahan Jenis Data" error="Data yang dimasukkan harus berupa tanggal!" sqref="O54">
      <formula1>0</formula1>
      <formula2>2958465.99999999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V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AB54">
      <formula1>-1000000000000000000</formula1>
      <formula2>1000000000000000000</formula2>
    </dataValidation>
    <dataValidation type="decimal" showErrorMessage="1" errorTitle="Kesalahan Jenis Data" error="Data yang dimasukkan harus berupa Angka!" sqref="AC54">
      <formula1>-1000000000000000000</formula1>
      <formula2>1000000000000000000</formula2>
    </dataValidation>
    <dataValidation type="decimal" showErrorMessage="1" errorTitle="Kesalahan Jenis Data" error="Data yang dimasukkan harus berupa Angka!" sqref="AD54">
      <formula1>-1000000000000000000</formula1>
      <formula2>1000000000000000000</formula2>
    </dataValidation>
    <dataValidation type="decimal" showErrorMessage="1" errorTitle="Kesalahan Jenis Data" error="Data yang dimasukkan harus berupa Angka!" sqref="AE54">
      <formula1>-1000000000000000000</formula1>
      <formula2>1000000000000000000</formula2>
    </dataValidation>
    <dataValidation type="decimal" showErrorMessage="1" errorTitle="Kesalahan Jenis Data" error="Data yang dimasukkan harus berupa Angka!" sqref="AF54">
      <formula1>-1000000000000000000</formula1>
      <formula2>1000000000000000000</formula2>
    </dataValidation>
    <dataValidation type="decimal" showErrorMessage="1" errorTitle="Kesalahan Jenis Data" error="Data yang dimasukkan harus berupa Angka!" sqref="AG54">
      <formula1>-1000000000000000000</formula1>
      <formula2>1000000000000000000</formula2>
    </dataValidation>
    <dataValidation type="decimal" showErrorMessage="1" errorTitle="Kesalahan Jenis Data" error="Data yang dimasukkan harus berupa Angka!" sqref="AH54">
      <formula1>-1000000000000000000</formula1>
      <formula2>1000000000000000000</formula2>
    </dataValidation>
    <dataValidation type="decimal" showErrorMessage="1" errorTitle="Kesalahan Jenis Data" error="Data yang dimasukkan harus berupa Angka!" sqref="AI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ate" showErrorMessage="1" errorTitle="Kesalahan Jenis Data" error="Data yang dimasukkan harus berupa tanggal!" sqref="N55">
      <formula1>0</formula1>
      <formula2>2958465.99999999</formula2>
    </dataValidation>
    <dataValidation type="date" showErrorMessage="1" errorTitle="Kesalahan Jenis Data" error="Data yang dimasukkan harus berupa tanggal!" sqref="O55">
      <formula1>0</formula1>
      <formula2>2958465.99999999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V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AB55">
      <formula1>-1000000000000000000</formula1>
      <formula2>1000000000000000000</formula2>
    </dataValidation>
    <dataValidation type="decimal" showErrorMessage="1" errorTitle="Kesalahan Jenis Data" error="Data yang dimasukkan harus berupa Angka!" sqref="AC55">
      <formula1>-1000000000000000000</formula1>
      <formula2>1000000000000000000</formula2>
    </dataValidation>
    <dataValidation type="decimal" showErrorMessage="1" errorTitle="Kesalahan Jenis Data" error="Data yang dimasukkan harus berupa Angka!" sqref="AD55">
      <formula1>-1000000000000000000</formula1>
      <formula2>1000000000000000000</formula2>
    </dataValidation>
    <dataValidation type="decimal" showErrorMessage="1" errorTitle="Kesalahan Jenis Data" error="Data yang dimasukkan harus berupa Angka!" sqref="AE55">
      <formula1>-1000000000000000000</formula1>
      <formula2>1000000000000000000</formula2>
    </dataValidation>
    <dataValidation type="decimal" showErrorMessage="1" errorTitle="Kesalahan Jenis Data" error="Data yang dimasukkan harus berupa Angka!" sqref="AF55">
      <formula1>-1000000000000000000</formula1>
      <formula2>1000000000000000000</formula2>
    </dataValidation>
    <dataValidation type="decimal" showErrorMessage="1" errorTitle="Kesalahan Jenis Data" error="Data yang dimasukkan harus berupa Angka!" sqref="AG55">
      <formula1>-1000000000000000000</formula1>
      <formula2>1000000000000000000</formula2>
    </dataValidation>
    <dataValidation type="decimal" showErrorMessage="1" errorTitle="Kesalahan Jenis Data" error="Data yang dimasukkan harus berupa Angka!" sqref="AH55">
      <formula1>-1000000000000000000</formula1>
      <formula2>1000000000000000000</formula2>
    </dataValidation>
    <dataValidation type="decimal" showErrorMessage="1" errorTitle="Kesalahan Jenis Data" error="Data yang dimasukkan harus berupa Angka!" sqref="AI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ate" showErrorMessage="1" errorTitle="Kesalahan Jenis Data" error="Data yang dimasukkan harus berupa tanggal!" sqref="N56">
      <formula1>0</formula1>
      <formula2>2958465.99999999</formula2>
    </dataValidation>
    <dataValidation type="date" showErrorMessage="1" errorTitle="Kesalahan Jenis Data" error="Data yang dimasukkan harus berupa tanggal!" sqref="O56">
      <formula1>0</formula1>
      <formula2>2958465.99999999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V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AB56">
      <formula1>-1000000000000000000</formula1>
      <formula2>1000000000000000000</formula2>
    </dataValidation>
    <dataValidation type="decimal" showErrorMessage="1" errorTitle="Kesalahan Jenis Data" error="Data yang dimasukkan harus berupa Angka!" sqref="AC56">
      <formula1>-1000000000000000000</formula1>
      <formula2>1000000000000000000</formula2>
    </dataValidation>
    <dataValidation type="decimal" showErrorMessage="1" errorTitle="Kesalahan Jenis Data" error="Data yang dimasukkan harus berupa Angka!" sqref="AD56">
      <formula1>-1000000000000000000</formula1>
      <formula2>1000000000000000000</formula2>
    </dataValidation>
    <dataValidation type="decimal" showErrorMessage="1" errorTitle="Kesalahan Jenis Data" error="Data yang dimasukkan harus berupa Angka!" sqref="AE56">
      <formula1>-1000000000000000000</formula1>
      <formula2>1000000000000000000</formula2>
    </dataValidation>
    <dataValidation type="decimal" showErrorMessage="1" errorTitle="Kesalahan Jenis Data" error="Data yang dimasukkan harus berupa Angka!" sqref="AF56">
      <formula1>-1000000000000000000</formula1>
      <formula2>1000000000000000000</formula2>
    </dataValidation>
    <dataValidation type="decimal" showErrorMessage="1" errorTitle="Kesalahan Jenis Data" error="Data yang dimasukkan harus berupa Angka!" sqref="AG56">
      <formula1>-1000000000000000000</formula1>
      <formula2>1000000000000000000</formula2>
    </dataValidation>
    <dataValidation type="decimal" showErrorMessage="1" errorTitle="Kesalahan Jenis Data" error="Data yang dimasukkan harus berupa Angka!" sqref="AH56">
      <formula1>-1000000000000000000</formula1>
      <formula2>1000000000000000000</formula2>
    </dataValidation>
    <dataValidation type="decimal" showErrorMessage="1" errorTitle="Kesalahan Jenis Data" error="Data yang dimasukkan harus berupa Angka!" sqref="AI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ate" showErrorMessage="1" errorTitle="Kesalahan Jenis Data" error="Data yang dimasukkan harus berupa tanggal!" sqref="N57">
      <formula1>0</formula1>
      <formula2>2958465.99999999</formula2>
    </dataValidation>
    <dataValidation type="date" showErrorMessage="1" errorTitle="Kesalahan Jenis Data" error="Data yang dimasukkan harus berupa tanggal!" sqref="O57">
      <formula1>0</formula1>
      <formula2>2958465.99999999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V57">
      <formula1>-1000000000000000000</formula1>
      <formula2>1000000000000000000</formula2>
    </dataValidation>
    <dataValidation type="decimal" showErrorMessage="1" errorTitle="Kesalahan Jenis Data" error="Data yang dimasukkan harus berupa Angka!" sqref="W57">
      <formula1>-1000000000000000000</formula1>
      <formula2>1000000000000000000</formula2>
    </dataValidation>
    <dataValidation type="decimal" showErrorMessage="1" errorTitle="Kesalahan Jenis Data" error="Data yang dimasukkan harus berupa Angka!" sqref="X57">
      <formula1>-1000000000000000000</formula1>
      <formula2>1000000000000000000</formula2>
    </dataValidation>
    <dataValidation type="decimal" showErrorMessage="1" errorTitle="Kesalahan Jenis Data" error="Data yang dimasukkan harus berupa Angka!" sqref="Y57">
      <formula1>-1000000000000000000</formula1>
      <formula2>1000000000000000000</formula2>
    </dataValidation>
    <dataValidation type="decimal" showErrorMessage="1" errorTitle="Kesalahan Jenis Data" error="Data yang dimasukkan harus berupa Angka!" sqref="Z57">
      <formula1>-1000000000000000000</formula1>
      <formula2>1000000000000000000</formula2>
    </dataValidation>
    <dataValidation type="decimal" showErrorMessage="1" errorTitle="Kesalahan Jenis Data" error="Data yang dimasukkan harus berupa Angka!" sqref="AA57">
      <formula1>-1000000000000000000</formula1>
      <formula2>1000000000000000000</formula2>
    </dataValidation>
    <dataValidation type="decimal" showErrorMessage="1" errorTitle="Kesalahan Jenis Data" error="Data yang dimasukkan harus berupa Angka!" sqref="AB57">
      <formula1>-1000000000000000000</formula1>
      <formula2>1000000000000000000</formula2>
    </dataValidation>
    <dataValidation type="decimal" showErrorMessage="1" errorTitle="Kesalahan Jenis Data" error="Data yang dimasukkan harus berupa Angka!" sqref="AC57">
      <formula1>-1000000000000000000</formula1>
      <formula2>1000000000000000000</formula2>
    </dataValidation>
    <dataValidation type="decimal" showErrorMessage="1" errorTitle="Kesalahan Jenis Data" error="Data yang dimasukkan harus berupa Angka!" sqref="AD57">
      <formula1>-1000000000000000000</formula1>
      <formula2>1000000000000000000</formula2>
    </dataValidation>
    <dataValidation type="decimal" showErrorMessage="1" errorTitle="Kesalahan Jenis Data" error="Data yang dimasukkan harus berupa Angka!" sqref="AE57">
      <formula1>-1000000000000000000</formula1>
      <formula2>1000000000000000000</formula2>
    </dataValidation>
    <dataValidation type="decimal" showErrorMessage="1" errorTitle="Kesalahan Jenis Data" error="Data yang dimasukkan harus berupa Angka!" sqref="AF57">
      <formula1>-1000000000000000000</formula1>
      <formula2>1000000000000000000</formula2>
    </dataValidation>
    <dataValidation type="decimal" showErrorMessage="1" errorTitle="Kesalahan Jenis Data" error="Data yang dimasukkan harus berupa Angka!" sqref="AG57">
      <formula1>-1000000000000000000</formula1>
      <formula2>1000000000000000000</formula2>
    </dataValidation>
    <dataValidation type="decimal" showErrorMessage="1" errorTitle="Kesalahan Jenis Data" error="Data yang dimasukkan harus berupa Angka!" sqref="AH57">
      <formula1>-1000000000000000000</formula1>
      <formula2>1000000000000000000</formula2>
    </dataValidation>
    <dataValidation type="decimal" showErrorMessage="1" errorTitle="Kesalahan Jenis Data" error="Data yang dimasukkan harus berupa Angka!" sqref="AI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ate" showErrorMessage="1" errorTitle="Kesalahan Jenis Data" error="Data yang dimasukkan harus berupa tanggal!" sqref="N58">
      <formula1>0</formula1>
      <formula2>2958465.99999999</formula2>
    </dataValidation>
    <dataValidation type="date" showErrorMessage="1" errorTitle="Kesalahan Jenis Data" error="Data yang dimasukkan harus berupa tanggal!" sqref="O58">
      <formula1>0</formula1>
      <formula2>2958465.99999999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V58">
      <formula1>-1000000000000000000</formula1>
      <formula2>1000000000000000000</formula2>
    </dataValidation>
    <dataValidation type="decimal" showErrorMessage="1" errorTitle="Kesalahan Jenis Data" error="Data yang dimasukkan harus berupa Angka!" sqref="W58">
      <formula1>-1000000000000000000</formula1>
      <formula2>1000000000000000000</formula2>
    </dataValidation>
    <dataValidation type="decimal" showErrorMessage="1" errorTitle="Kesalahan Jenis Data" error="Data yang dimasukkan harus berupa Angka!" sqref="X58">
      <formula1>-1000000000000000000</formula1>
      <formula2>1000000000000000000</formula2>
    </dataValidation>
    <dataValidation type="decimal" showErrorMessage="1" errorTitle="Kesalahan Jenis Data" error="Data yang dimasukkan harus berupa Angka!" sqref="Y58">
      <formula1>-1000000000000000000</formula1>
      <formula2>1000000000000000000</formula2>
    </dataValidation>
    <dataValidation type="decimal" showErrorMessage="1" errorTitle="Kesalahan Jenis Data" error="Data yang dimasukkan harus berupa Angka!" sqref="Z58">
      <formula1>-1000000000000000000</formula1>
      <formula2>1000000000000000000</formula2>
    </dataValidation>
    <dataValidation type="decimal" showErrorMessage="1" errorTitle="Kesalahan Jenis Data" error="Data yang dimasukkan harus berupa Angka!" sqref="AA58">
      <formula1>-1000000000000000000</formula1>
      <formula2>1000000000000000000</formula2>
    </dataValidation>
    <dataValidation type="decimal" showErrorMessage="1" errorTitle="Kesalahan Jenis Data" error="Data yang dimasukkan harus berupa Angka!" sqref="AB58">
      <formula1>-1000000000000000000</formula1>
      <formula2>1000000000000000000</formula2>
    </dataValidation>
    <dataValidation type="decimal" showErrorMessage="1" errorTitle="Kesalahan Jenis Data" error="Data yang dimasukkan harus berupa Angka!" sqref="AC58">
      <formula1>-1000000000000000000</formula1>
      <formula2>1000000000000000000</formula2>
    </dataValidation>
    <dataValidation type="decimal" showErrorMessage="1" errorTitle="Kesalahan Jenis Data" error="Data yang dimasukkan harus berupa Angka!" sqref="AD58">
      <formula1>-1000000000000000000</formula1>
      <formula2>1000000000000000000</formula2>
    </dataValidation>
    <dataValidation type="decimal" showErrorMessage="1" errorTitle="Kesalahan Jenis Data" error="Data yang dimasukkan harus berupa Angka!" sqref="AE58">
      <formula1>-1000000000000000000</formula1>
      <formula2>1000000000000000000</formula2>
    </dataValidation>
    <dataValidation type="decimal" showErrorMessage="1" errorTitle="Kesalahan Jenis Data" error="Data yang dimasukkan harus berupa Angka!" sqref="AF58">
      <formula1>-1000000000000000000</formula1>
      <formula2>1000000000000000000</formula2>
    </dataValidation>
    <dataValidation type="decimal" showErrorMessage="1" errorTitle="Kesalahan Jenis Data" error="Data yang dimasukkan harus berupa Angka!" sqref="AG58">
      <formula1>-1000000000000000000</formula1>
      <formula2>1000000000000000000</formula2>
    </dataValidation>
    <dataValidation type="decimal" showErrorMessage="1" errorTitle="Kesalahan Jenis Data" error="Data yang dimasukkan harus berupa Angka!" sqref="AH58">
      <formula1>-1000000000000000000</formula1>
      <formula2>1000000000000000000</formula2>
    </dataValidation>
    <dataValidation type="decimal" showErrorMessage="1" errorTitle="Kesalahan Jenis Data" error="Data yang dimasukkan harus berupa Angka!" sqref="AI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ate" showErrorMessage="1" errorTitle="Kesalahan Jenis Data" error="Data yang dimasukkan harus berupa tanggal!" sqref="N59">
      <formula1>0</formula1>
      <formula2>2958465.99999999</formula2>
    </dataValidation>
    <dataValidation type="date" showErrorMessage="1" errorTitle="Kesalahan Jenis Data" error="Data yang dimasukkan harus berupa tanggal!" sqref="O59">
      <formula1>0</formula1>
      <formula2>2958465.99999999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V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Z59">
      <formula1>-1000000000000000000</formula1>
      <formula2>1000000000000000000</formula2>
    </dataValidation>
    <dataValidation type="decimal" showErrorMessage="1" errorTitle="Kesalahan Jenis Data" error="Data yang dimasukkan harus berupa Angka!" sqref="AA59">
      <formula1>-1000000000000000000</formula1>
      <formula2>1000000000000000000</formula2>
    </dataValidation>
    <dataValidation type="decimal" showErrorMessage="1" errorTitle="Kesalahan Jenis Data" error="Data yang dimasukkan harus berupa Angka!" sqref="AB59">
      <formula1>-1000000000000000000</formula1>
      <formula2>1000000000000000000</formula2>
    </dataValidation>
    <dataValidation type="decimal" showErrorMessage="1" errorTitle="Kesalahan Jenis Data" error="Data yang dimasukkan harus berupa Angka!" sqref="AC59">
      <formula1>-1000000000000000000</formula1>
      <formula2>1000000000000000000</formula2>
    </dataValidation>
    <dataValidation type="decimal" showErrorMessage="1" errorTitle="Kesalahan Jenis Data" error="Data yang dimasukkan harus berupa Angka!" sqref="AD59">
      <formula1>-1000000000000000000</formula1>
      <formula2>1000000000000000000</formula2>
    </dataValidation>
    <dataValidation type="decimal" showErrorMessage="1" errorTitle="Kesalahan Jenis Data" error="Data yang dimasukkan harus berupa Angka!" sqref="AE59">
      <formula1>-1000000000000000000</formula1>
      <formula2>1000000000000000000</formula2>
    </dataValidation>
    <dataValidation type="decimal" showErrorMessage="1" errorTitle="Kesalahan Jenis Data" error="Data yang dimasukkan harus berupa Angka!" sqref="AF59">
      <formula1>-1000000000000000000</formula1>
      <formula2>1000000000000000000</formula2>
    </dataValidation>
    <dataValidation type="decimal" showErrorMessage="1" errorTitle="Kesalahan Jenis Data" error="Data yang dimasukkan harus berupa Angka!" sqref="AG59">
      <formula1>-1000000000000000000</formula1>
      <formula2>1000000000000000000</formula2>
    </dataValidation>
    <dataValidation type="decimal" showErrorMessage="1" errorTitle="Kesalahan Jenis Data" error="Data yang dimasukkan harus berupa Angka!" sqref="AH59">
      <formula1>-1000000000000000000</formula1>
      <formula2>1000000000000000000</formula2>
    </dataValidation>
    <dataValidation type="decimal" showErrorMessage="1" errorTitle="Kesalahan Jenis Data" error="Data yang dimasukkan harus berupa Angka!" sqref="AI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ate" showErrorMessage="1" errorTitle="Kesalahan Jenis Data" error="Data yang dimasukkan harus berupa tanggal!" sqref="N60">
      <formula1>0</formula1>
      <formula2>2958465.99999999</formula2>
    </dataValidation>
    <dataValidation type="date" showErrorMessage="1" errorTitle="Kesalahan Jenis Data" error="Data yang dimasukkan harus berupa tanggal!" sqref="O60">
      <formula1>0</formula1>
      <formula2>2958465.99999999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V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Z60">
      <formula1>-1000000000000000000</formula1>
      <formula2>1000000000000000000</formula2>
    </dataValidation>
    <dataValidation type="decimal" showErrorMessage="1" errorTitle="Kesalahan Jenis Data" error="Data yang dimasukkan harus berupa Angka!" sqref="AA60">
      <formula1>-1000000000000000000</formula1>
      <formula2>1000000000000000000</formula2>
    </dataValidation>
    <dataValidation type="decimal" showErrorMessage="1" errorTitle="Kesalahan Jenis Data" error="Data yang dimasukkan harus berupa Angka!" sqref="AB60">
      <formula1>-1000000000000000000</formula1>
      <formula2>1000000000000000000</formula2>
    </dataValidation>
    <dataValidation type="decimal" showErrorMessage="1" errorTitle="Kesalahan Jenis Data" error="Data yang dimasukkan harus berupa Angka!" sqref="AC60">
      <formula1>-1000000000000000000</formula1>
      <formula2>1000000000000000000</formula2>
    </dataValidation>
    <dataValidation type="decimal" showErrorMessage="1" errorTitle="Kesalahan Jenis Data" error="Data yang dimasukkan harus berupa Angka!" sqref="AD60">
      <formula1>-1000000000000000000</formula1>
      <formula2>1000000000000000000</formula2>
    </dataValidation>
    <dataValidation type="decimal" showErrorMessage="1" errorTitle="Kesalahan Jenis Data" error="Data yang dimasukkan harus berupa Angka!" sqref="AE60">
      <formula1>-1000000000000000000</formula1>
      <formula2>1000000000000000000</formula2>
    </dataValidation>
    <dataValidation type="decimal" showErrorMessage="1" errorTitle="Kesalahan Jenis Data" error="Data yang dimasukkan harus berupa Angka!" sqref="AF60">
      <formula1>-1000000000000000000</formula1>
      <formula2>1000000000000000000</formula2>
    </dataValidation>
    <dataValidation type="decimal" showErrorMessage="1" errorTitle="Kesalahan Jenis Data" error="Data yang dimasukkan harus berupa Angka!" sqref="AG60">
      <formula1>-1000000000000000000</formula1>
      <formula2>1000000000000000000</formula2>
    </dataValidation>
    <dataValidation type="decimal" showErrorMessage="1" errorTitle="Kesalahan Jenis Data" error="Data yang dimasukkan harus berupa Angka!" sqref="AH60">
      <formula1>-1000000000000000000</formula1>
      <formula2>1000000000000000000</formula2>
    </dataValidation>
    <dataValidation type="decimal" showErrorMessage="1" errorTitle="Kesalahan Jenis Data" error="Data yang dimasukkan harus berupa Angka!" sqref="AI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ate" showErrorMessage="1" errorTitle="Kesalahan Jenis Data" error="Data yang dimasukkan harus berupa tanggal!" sqref="N61">
      <formula1>0</formula1>
      <formula2>2958465.99999999</formula2>
    </dataValidation>
    <dataValidation type="date" showErrorMessage="1" errorTitle="Kesalahan Jenis Data" error="Data yang dimasukkan harus berupa tanggal!" sqref="O61">
      <formula1>0</formula1>
      <formula2>2958465.99999999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V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Z61">
      <formula1>-1000000000000000000</formula1>
      <formula2>1000000000000000000</formula2>
    </dataValidation>
    <dataValidation type="decimal" showErrorMessage="1" errorTitle="Kesalahan Jenis Data" error="Data yang dimasukkan harus berupa Angka!" sqref="AA61">
      <formula1>-1000000000000000000</formula1>
      <formula2>1000000000000000000</formula2>
    </dataValidation>
    <dataValidation type="decimal" showErrorMessage="1" errorTitle="Kesalahan Jenis Data" error="Data yang dimasukkan harus berupa Angka!" sqref="AB61">
      <formula1>-1000000000000000000</formula1>
      <formula2>1000000000000000000</formula2>
    </dataValidation>
    <dataValidation type="decimal" showErrorMessage="1" errorTitle="Kesalahan Jenis Data" error="Data yang dimasukkan harus berupa Angka!" sqref="AC61">
      <formula1>-1000000000000000000</formula1>
      <formula2>1000000000000000000</formula2>
    </dataValidation>
    <dataValidation type="decimal" showErrorMessage="1" errorTitle="Kesalahan Jenis Data" error="Data yang dimasukkan harus berupa Angka!" sqref="AD61">
      <formula1>-1000000000000000000</formula1>
      <formula2>1000000000000000000</formula2>
    </dataValidation>
    <dataValidation type="decimal" showErrorMessage="1" errorTitle="Kesalahan Jenis Data" error="Data yang dimasukkan harus berupa Angka!" sqref="AE61">
      <formula1>-1000000000000000000</formula1>
      <formula2>1000000000000000000</formula2>
    </dataValidation>
    <dataValidation type="decimal" showErrorMessage="1" errorTitle="Kesalahan Jenis Data" error="Data yang dimasukkan harus berupa Angka!" sqref="AF61">
      <formula1>-1000000000000000000</formula1>
      <formula2>1000000000000000000</formula2>
    </dataValidation>
    <dataValidation type="decimal" showErrorMessage="1" errorTitle="Kesalahan Jenis Data" error="Data yang dimasukkan harus berupa Angka!" sqref="AG61">
      <formula1>-1000000000000000000</formula1>
      <formula2>1000000000000000000</formula2>
    </dataValidation>
    <dataValidation type="decimal" showErrorMessage="1" errorTitle="Kesalahan Jenis Data" error="Data yang dimasukkan harus berupa Angka!" sqref="AH61">
      <formula1>-1000000000000000000</formula1>
      <formula2>1000000000000000000</formula2>
    </dataValidation>
    <dataValidation type="decimal" showErrorMessage="1" errorTitle="Kesalahan Jenis Data" error="Data yang dimasukkan harus berupa Angka!" sqref="AI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ate" showErrorMessage="1" errorTitle="Kesalahan Jenis Data" error="Data yang dimasukkan harus berupa tanggal!" sqref="N62">
      <formula1>0</formula1>
      <formula2>2958465.99999999</formula2>
    </dataValidation>
    <dataValidation type="date" showErrorMessage="1" errorTitle="Kesalahan Jenis Data" error="Data yang dimasukkan harus berupa tanggal!" sqref="O62">
      <formula1>0</formula1>
      <formula2>2958465.99999999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V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Z62">
      <formula1>-1000000000000000000</formula1>
      <formula2>1000000000000000000</formula2>
    </dataValidation>
    <dataValidation type="decimal" showErrorMessage="1" errorTitle="Kesalahan Jenis Data" error="Data yang dimasukkan harus berupa Angka!" sqref="AA62">
      <formula1>-1000000000000000000</formula1>
      <formula2>1000000000000000000</formula2>
    </dataValidation>
    <dataValidation type="decimal" showErrorMessage="1" errorTitle="Kesalahan Jenis Data" error="Data yang dimasukkan harus berupa Angka!" sqref="AB62">
      <formula1>-1000000000000000000</formula1>
      <formula2>1000000000000000000</formula2>
    </dataValidation>
    <dataValidation type="decimal" showErrorMessage="1" errorTitle="Kesalahan Jenis Data" error="Data yang dimasukkan harus berupa Angka!" sqref="AC62">
      <formula1>-1000000000000000000</formula1>
      <formula2>1000000000000000000</formula2>
    </dataValidation>
    <dataValidation type="decimal" showErrorMessage="1" errorTitle="Kesalahan Jenis Data" error="Data yang dimasukkan harus berupa Angka!" sqref="AD62">
      <formula1>-1000000000000000000</formula1>
      <formula2>1000000000000000000</formula2>
    </dataValidation>
    <dataValidation type="decimal" showErrorMessage="1" errorTitle="Kesalahan Jenis Data" error="Data yang dimasukkan harus berupa Angka!" sqref="AE62">
      <formula1>-1000000000000000000</formula1>
      <formula2>1000000000000000000</formula2>
    </dataValidation>
    <dataValidation type="decimal" showErrorMessage="1" errorTitle="Kesalahan Jenis Data" error="Data yang dimasukkan harus berupa Angka!" sqref="AF62">
      <formula1>-1000000000000000000</formula1>
      <formula2>1000000000000000000</formula2>
    </dataValidation>
    <dataValidation type="decimal" showErrorMessage="1" errorTitle="Kesalahan Jenis Data" error="Data yang dimasukkan harus berupa Angka!" sqref="AG62">
      <formula1>-1000000000000000000</formula1>
      <formula2>1000000000000000000</formula2>
    </dataValidation>
    <dataValidation type="decimal" showErrorMessage="1" errorTitle="Kesalahan Jenis Data" error="Data yang dimasukkan harus berupa Angka!" sqref="AH62">
      <formula1>-1000000000000000000</formula1>
      <formula2>1000000000000000000</formula2>
    </dataValidation>
    <dataValidation type="decimal" showErrorMessage="1" errorTitle="Kesalahan Jenis Data" error="Data yang dimasukkan harus berupa Angka!" sqref="AI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ate" showErrorMessage="1" errorTitle="Kesalahan Jenis Data" error="Data yang dimasukkan harus berupa tanggal!" sqref="N63">
      <formula1>0</formula1>
      <formula2>2958465.99999999</formula2>
    </dataValidation>
    <dataValidation type="date" showErrorMessage="1" errorTitle="Kesalahan Jenis Data" error="Data yang dimasukkan harus berupa tanggal!" sqref="O63">
      <formula1>0</formula1>
      <formula2>2958465.99999999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V63">
      <formula1>-1000000000000000000</formula1>
      <formula2>1000000000000000000</formula2>
    </dataValidation>
    <dataValidation type="decimal" showErrorMessage="1" errorTitle="Kesalahan Jenis Data" error="Data yang dimasukkan harus berupa Angka!" sqref="W63">
      <formula1>-1000000000000000000</formula1>
      <formula2>1000000000000000000</formula2>
    </dataValidation>
    <dataValidation type="decimal" showErrorMessage="1" errorTitle="Kesalahan Jenis Data" error="Data yang dimasukkan harus berupa Angka!" sqref="X63">
      <formula1>-1000000000000000000</formula1>
      <formula2>1000000000000000000</formula2>
    </dataValidation>
    <dataValidation type="decimal" showErrorMessage="1" errorTitle="Kesalahan Jenis Data" error="Data yang dimasukkan harus berupa Angka!" sqref="Y63">
      <formula1>-1000000000000000000</formula1>
      <formula2>1000000000000000000</formula2>
    </dataValidation>
    <dataValidation type="decimal" showErrorMessage="1" errorTitle="Kesalahan Jenis Data" error="Data yang dimasukkan harus berupa Angka!" sqref="Z63">
      <formula1>-1000000000000000000</formula1>
      <formula2>1000000000000000000</formula2>
    </dataValidation>
    <dataValidation type="decimal" showErrorMessage="1" errorTitle="Kesalahan Jenis Data" error="Data yang dimasukkan harus berupa Angka!" sqref="AA63">
      <formula1>-1000000000000000000</formula1>
      <formula2>1000000000000000000</formula2>
    </dataValidation>
    <dataValidation type="decimal" showErrorMessage="1" errorTitle="Kesalahan Jenis Data" error="Data yang dimasukkan harus berupa Angka!" sqref="AB63">
      <formula1>-1000000000000000000</formula1>
      <formula2>1000000000000000000</formula2>
    </dataValidation>
    <dataValidation type="decimal" showErrorMessage="1" errorTitle="Kesalahan Jenis Data" error="Data yang dimasukkan harus berupa Angka!" sqref="AC63">
      <formula1>-1000000000000000000</formula1>
      <formula2>1000000000000000000</formula2>
    </dataValidation>
    <dataValidation type="decimal" showErrorMessage="1" errorTitle="Kesalahan Jenis Data" error="Data yang dimasukkan harus berupa Angka!" sqref="AD63">
      <formula1>-1000000000000000000</formula1>
      <formula2>1000000000000000000</formula2>
    </dataValidation>
    <dataValidation type="decimal" showErrorMessage="1" errorTitle="Kesalahan Jenis Data" error="Data yang dimasukkan harus berupa Angka!" sqref="AE63">
      <formula1>-1000000000000000000</formula1>
      <formula2>1000000000000000000</formula2>
    </dataValidation>
    <dataValidation type="decimal" showErrorMessage="1" errorTitle="Kesalahan Jenis Data" error="Data yang dimasukkan harus berupa Angka!" sqref="AF63">
      <formula1>-1000000000000000000</formula1>
      <formula2>1000000000000000000</formula2>
    </dataValidation>
    <dataValidation type="decimal" showErrorMessage="1" errorTitle="Kesalahan Jenis Data" error="Data yang dimasukkan harus berupa Angka!" sqref="AG63">
      <formula1>-1000000000000000000</formula1>
      <formula2>1000000000000000000</formula2>
    </dataValidation>
    <dataValidation type="decimal" showErrorMessage="1" errorTitle="Kesalahan Jenis Data" error="Data yang dimasukkan harus berupa Angka!" sqref="AH63">
      <formula1>-1000000000000000000</formula1>
      <formula2>1000000000000000000</formula2>
    </dataValidation>
    <dataValidation type="decimal" showErrorMessage="1" errorTitle="Kesalahan Jenis Data" error="Data yang dimasukkan harus berupa Angka!" sqref="AI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ate" showErrorMessage="1" errorTitle="Kesalahan Jenis Data" error="Data yang dimasukkan harus berupa tanggal!" sqref="N64">
      <formula1>0</formula1>
      <formula2>2958465.99999999</formula2>
    </dataValidation>
    <dataValidation type="date" showErrorMessage="1" errorTitle="Kesalahan Jenis Data" error="Data yang dimasukkan harus berupa tanggal!" sqref="O64">
      <formula1>0</formula1>
      <formula2>2958465.99999999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V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AB64">
      <formula1>-1000000000000000000</formula1>
      <formula2>1000000000000000000</formula2>
    </dataValidation>
    <dataValidation type="decimal" showErrorMessage="1" errorTitle="Kesalahan Jenis Data" error="Data yang dimasukkan harus berupa Angka!" sqref="AC64">
      <formula1>-1000000000000000000</formula1>
      <formula2>1000000000000000000</formula2>
    </dataValidation>
    <dataValidation type="decimal" showErrorMessage="1" errorTitle="Kesalahan Jenis Data" error="Data yang dimasukkan harus berupa Angka!" sqref="AD64">
      <formula1>-1000000000000000000</formula1>
      <formula2>1000000000000000000</formula2>
    </dataValidation>
    <dataValidation type="decimal" showErrorMessage="1" errorTitle="Kesalahan Jenis Data" error="Data yang dimasukkan harus berupa Angka!" sqref="AE64">
      <formula1>-1000000000000000000</formula1>
      <formula2>1000000000000000000</formula2>
    </dataValidation>
    <dataValidation type="decimal" showErrorMessage="1" errorTitle="Kesalahan Jenis Data" error="Data yang dimasukkan harus berupa Angka!" sqref="AF64">
      <formula1>-1000000000000000000</formula1>
      <formula2>1000000000000000000</formula2>
    </dataValidation>
    <dataValidation type="decimal" showErrorMessage="1" errorTitle="Kesalahan Jenis Data" error="Data yang dimasukkan harus berupa Angka!" sqref="AG64">
      <formula1>-1000000000000000000</formula1>
      <formula2>1000000000000000000</formula2>
    </dataValidation>
    <dataValidation type="decimal" showErrorMessage="1" errorTitle="Kesalahan Jenis Data" error="Data yang dimasukkan harus berupa Angka!" sqref="AH64">
      <formula1>-1000000000000000000</formula1>
      <formula2>1000000000000000000</formula2>
    </dataValidation>
    <dataValidation type="decimal" showErrorMessage="1" errorTitle="Kesalahan Jenis Data" error="Data yang dimasukkan harus berupa Angka!" sqref="AI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ate" showErrorMessage="1" errorTitle="Kesalahan Jenis Data" error="Data yang dimasukkan harus berupa tanggal!" sqref="N65">
      <formula1>0</formula1>
      <formula2>2958465.99999999</formula2>
    </dataValidation>
    <dataValidation type="date" showErrorMessage="1" errorTitle="Kesalahan Jenis Data" error="Data yang dimasukkan harus berupa tanggal!" sqref="O65">
      <formula1>0</formula1>
      <formula2>2958465.99999999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V65">
      <formula1>-1000000000000000000</formula1>
      <formula2>1000000000000000000</formula2>
    </dataValidation>
    <dataValidation type="decimal" showErrorMessage="1" errorTitle="Kesalahan Jenis Data" error="Data yang dimasukkan harus berupa Angka!" sqref="W65">
      <formula1>-1000000000000000000</formula1>
      <formula2>1000000000000000000</formula2>
    </dataValidation>
    <dataValidation type="decimal" showErrorMessage="1" errorTitle="Kesalahan Jenis Data" error="Data yang dimasukkan harus berupa Angka!" sqref="X65">
      <formula1>-1000000000000000000</formula1>
      <formula2>1000000000000000000</formula2>
    </dataValidation>
    <dataValidation type="decimal" showErrorMessage="1" errorTitle="Kesalahan Jenis Data" error="Data yang dimasukkan harus berupa Angka!" sqref="Y65">
      <formula1>-1000000000000000000</formula1>
      <formula2>1000000000000000000</formula2>
    </dataValidation>
    <dataValidation type="decimal" showErrorMessage="1" errorTitle="Kesalahan Jenis Data" error="Data yang dimasukkan harus berupa Angka!" sqref="Z65">
      <formula1>-1000000000000000000</formula1>
      <formula2>1000000000000000000</formula2>
    </dataValidation>
    <dataValidation type="decimal" showErrorMessage="1" errorTitle="Kesalahan Jenis Data" error="Data yang dimasukkan harus berupa Angka!" sqref="AA65">
      <formula1>-1000000000000000000</formula1>
      <formula2>1000000000000000000</formula2>
    </dataValidation>
    <dataValidation type="decimal" showErrorMessage="1" errorTitle="Kesalahan Jenis Data" error="Data yang dimasukkan harus berupa Angka!" sqref="AB65">
      <formula1>-1000000000000000000</formula1>
      <formula2>1000000000000000000</formula2>
    </dataValidation>
    <dataValidation type="decimal" showErrorMessage="1" errorTitle="Kesalahan Jenis Data" error="Data yang dimasukkan harus berupa Angka!" sqref="AC65">
      <formula1>-1000000000000000000</formula1>
      <formula2>1000000000000000000</formula2>
    </dataValidation>
    <dataValidation type="decimal" showErrorMessage="1" errorTitle="Kesalahan Jenis Data" error="Data yang dimasukkan harus berupa Angka!" sqref="AD65">
      <formula1>-1000000000000000000</formula1>
      <formula2>1000000000000000000</formula2>
    </dataValidation>
    <dataValidation type="decimal" showErrorMessage="1" errorTitle="Kesalahan Jenis Data" error="Data yang dimasukkan harus berupa Angka!" sqref="AE65">
      <formula1>-1000000000000000000</formula1>
      <formula2>1000000000000000000</formula2>
    </dataValidation>
    <dataValidation type="decimal" showErrorMessage="1" errorTitle="Kesalahan Jenis Data" error="Data yang dimasukkan harus berupa Angka!" sqref="AF65">
      <formula1>-1000000000000000000</formula1>
      <formula2>1000000000000000000</formula2>
    </dataValidation>
    <dataValidation type="decimal" showErrorMessage="1" errorTitle="Kesalahan Jenis Data" error="Data yang dimasukkan harus berupa Angka!" sqref="AG65">
      <formula1>-1000000000000000000</formula1>
      <formula2>1000000000000000000</formula2>
    </dataValidation>
    <dataValidation type="decimal" showErrorMessage="1" errorTitle="Kesalahan Jenis Data" error="Data yang dimasukkan harus berupa Angka!" sqref="AH65">
      <formula1>-1000000000000000000</formula1>
      <formula2>1000000000000000000</formula2>
    </dataValidation>
    <dataValidation type="decimal" showErrorMessage="1" errorTitle="Kesalahan Jenis Data" error="Data yang dimasukkan harus berupa Angka!" sqref="AI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ate" showErrorMessage="1" errorTitle="Kesalahan Jenis Data" error="Data yang dimasukkan harus berupa tanggal!" sqref="N66">
      <formula1>0</formula1>
      <formula2>2958465.99999999</formula2>
    </dataValidation>
    <dataValidation type="date" showErrorMessage="1" errorTitle="Kesalahan Jenis Data" error="Data yang dimasukkan harus berupa tanggal!" sqref="O66">
      <formula1>0</formula1>
      <formula2>2958465.99999999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V66">
      <formula1>-1000000000000000000</formula1>
      <formula2>1000000000000000000</formula2>
    </dataValidation>
    <dataValidation type="decimal" showErrorMessage="1" errorTitle="Kesalahan Jenis Data" error="Data yang dimasukkan harus berupa Angka!" sqref="W66">
      <formula1>-1000000000000000000</formula1>
      <formula2>1000000000000000000</formula2>
    </dataValidation>
    <dataValidation type="decimal" showErrorMessage="1" errorTitle="Kesalahan Jenis Data" error="Data yang dimasukkan harus berupa Angka!" sqref="X66">
      <formula1>-1000000000000000000</formula1>
      <formula2>1000000000000000000</formula2>
    </dataValidation>
    <dataValidation type="decimal" showErrorMessage="1" errorTitle="Kesalahan Jenis Data" error="Data yang dimasukkan harus berupa Angka!" sqref="Y66">
      <formula1>-1000000000000000000</formula1>
      <formula2>1000000000000000000</formula2>
    </dataValidation>
    <dataValidation type="decimal" showErrorMessage="1" errorTitle="Kesalahan Jenis Data" error="Data yang dimasukkan harus berupa Angka!" sqref="Z66">
      <formula1>-1000000000000000000</formula1>
      <formula2>1000000000000000000</formula2>
    </dataValidation>
    <dataValidation type="decimal" showErrorMessage="1" errorTitle="Kesalahan Jenis Data" error="Data yang dimasukkan harus berupa Angka!" sqref="AA66">
      <formula1>-1000000000000000000</formula1>
      <formula2>1000000000000000000</formula2>
    </dataValidation>
    <dataValidation type="decimal" showErrorMessage="1" errorTitle="Kesalahan Jenis Data" error="Data yang dimasukkan harus berupa Angka!" sqref="AB66">
      <formula1>-1000000000000000000</formula1>
      <formula2>1000000000000000000</formula2>
    </dataValidation>
    <dataValidation type="decimal" showErrorMessage="1" errorTitle="Kesalahan Jenis Data" error="Data yang dimasukkan harus berupa Angka!" sqref="AC66">
      <formula1>-1000000000000000000</formula1>
      <formula2>1000000000000000000</formula2>
    </dataValidation>
    <dataValidation type="decimal" showErrorMessage="1" errorTitle="Kesalahan Jenis Data" error="Data yang dimasukkan harus berupa Angka!" sqref="AD66">
      <formula1>-1000000000000000000</formula1>
      <formula2>1000000000000000000</formula2>
    </dataValidation>
    <dataValidation type="decimal" showErrorMessage="1" errorTitle="Kesalahan Jenis Data" error="Data yang dimasukkan harus berupa Angka!" sqref="AE66">
      <formula1>-1000000000000000000</formula1>
      <formula2>1000000000000000000</formula2>
    </dataValidation>
    <dataValidation type="decimal" showErrorMessage="1" errorTitle="Kesalahan Jenis Data" error="Data yang dimasukkan harus berupa Angka!" sqref="AF66">
      <formula1>-1000000000000000000</formula1>
      <formula2>1000000000000000000</formula2>
    </dataValidation>
    <dataValidation type="decimal" showErrorMessage="1" errorTitle="Kesalahan Jenis Data" error="Data yang dimasukkan harus berupa Angka!" sqref="AG66">
      <formula1>-1000000000000000000</formula1>
      <formula2>1000000000000000000</formula2>
    </dataValidation>
    <dataValidation type="decimal" showErrorMessage="1" errorTitle="Kesalahan Jenis Data" error="Data yang dimasukkan harus berupa Angka!" sqref="AH66">
      <formula1>-1000000000000000000</formula1>
      <formula2>1000000000000000000</formula2>
    </dataValidation>
    <dataValidation type="decimal" showErrorMessage="1" errorTitle="Kesalahan Jenis Data" error="Data yang dimasukkan harus berupa Angka!" sqref="AI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ate" showErrorMessage="1" errorTitle="Kesalahan Jenis Data" error="Data yang dimasukkan harus berupa tanggal!" sqref="N67">
      <formula1>0</formula1>
      <formula2>2958465.99999999</formula2>
    </dataValidation>
    <dataValidation type="date" showErrorMessage="1" errorTitle="Kesalahan Jenis Data" error="Data yang dimasukkan harus berupa tanggal!" sqref="O67">
      <formula1>0</formula1>
      <formula2>2958465.99999999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V67">
      <formula1>-1000000000000000000</formula1>
      <formula2>1000000000000000000</formula2>
    </dataValidation>
    <dataValidation type="decimal" showErrorMessage="1" errorTitle="Kesalahan Jenis Data" error="Data yang dimasukkan harus berupa Angka!" sqref="W67">
      <formula1>-1000000000000000000</formula1>
      <formula2>1000000000000000000</formula2>
    </dataValidation>
    <dataValidation type="decimal" showErrorMessage="1" errorTitle="Kesalahan Jenis Data" error="Data yang dimasukkan harus berupa Angka!" sqref="X67">
      <formula1>-1000000000000000000</formula1>
      <formula2>1000000000000000000</formula2>
    </dataValidation>
    <dataValidation type="decimal" showErrorMessage="1" errorTitle="Kesalahan Jenis Data" error="Data yang dimasukkan harus berupa Angka!" sqref="Y67">
      <formula1>-1000000000000000000</formula1>
      <formula2>1000000000000000000</formula2>
    </dataValidation>
    <dataValidation type="decimal" showErrorMessage="1" errorTitle="Kesalahan Jenis Data" error="Data yang dimasukkan harus berupa Angka!" sqref="Z67">
      <formula1>-1000000000000000000</formula1>
      <formula2>1000000000000000000</formula2>
    </dataValidation>
    <dataValidation type="decimal" showErrorMessage="1" errorTitle="Kesalahan Jenis Data" error="Data yang dimasukkan harus berupa Angka!" sqref="AA67">
      <formula1>-1000000000000000000</formula1>
      <formula2>1000000000000000000</formula2>
    </dataValidation>
    <dataValidation type="decimal" showErrorMessage="1" errorTitle="Kesalahan Jenis Data" error="Data yang dimasukkan harus berupa Angka!" sqref="AB67">
      <formula1>-1000000000000000000</formula1>
      <formula2>1000000000000000000</formula2>
    </dataValidation>
    <dataValidation type="decimal" showErrorMessage="1" errorTitle="Kesalahan Jenis Data" error="Data yang dimasukkan harus berupa Angka!" sqref="AC67">
      <formula1>-1000000000000000000</formula1>
      <formula2>1000000000000000000</formula2>
    </dataValidation>
    <dataValidation type="decimal" showErrorMessage="1" errorTitle="Kesalahan Jenis Data" error="Data yang dimasukkan harus berupa Angka!" sqref="AD67">
      <formula1>-1000000000000000000</formula1>
      <formula2>1000000000000000000</formula2>
    </dataValidation>
    <dataValidation type="decimal" showErrorMessage="1" errorTitle="Kesalahan Jenis Data" error="Data yang dimasukkan harus berupa Angka!" sqref="AE67">
      <formula1>-1000000000000000000</formula1>
      <formula2>1000000000000000000</formula2>
    </dataValidation>
    <dataValidation type="decimal" showErrorMessage="1" errorTitle="Kesalahan Jenis Data" error="Data yang dimasukkan harus berupa Angka!" sqref="AF67">
      <formula1>-1000000000000000000</formula1>
      <formula2>1000000000000000000</formula2>
    </dataValidation>
    <dataValidation type="decimal" showErrorMessage="1" errorTitle="Kesalahan Jenis Data" error="Data yang dimasukkan harus berupa Angka!" sqref="AG67">
      <formula1>-1000000000000000000</formula1>
      <formula2>1000000000000000000</formula2>
    </dataValidation>
    <dataValidation type="decimal" showErrorMessage="1" errorTitle="Kesalahan Jenis Data" error="Data yang dimasukkan harus berupa Angka!" sqref="AH67">
      <formula1>-1000000000000000000</formula1>
      <formula2>1000000000000000000</formula2>
    </dataValidation>
    <dataValidation type="decimal" showErrorMessage="1" errorTitle="Kesalahan Jenis Data" error="Data yang dimasukkan harus berupa Angka!" sqref="AI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ate" showErrorMessage="1" errorTitle="Kesalahan Jenis Data" error="Data yang dimasukkan harus berupa tanggal!" sqref="N68">
      <formula1>0</formula1>
      <formula2>2958465.99999999</formula2>
    </dataValidation>
    <dataValidation type="date" showErrorMessage="1" errorTitle="Kesalahan Jenis Data" error="Data yang dimasukkan harus berupa tanggal!" sqref="O68">
      <formula1>0</formula1>
      <formula2>2958465.99999999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V68">
      <formula1>-1000000000000000000</formula1>
      <formula2>1000000000000000000</formula2>
    </dataValidation>
    <dataValidation type="decimal" showErrorMessage="1" errorTitle="Kesalahan Jenis Data" error="Data yang dimasukkan harus berupa Angka!" sqref="W68">
      <formula1>-1000000000000000000</formula1>
      <formula2>1000000000000000000</formula2>
    </dataValidation>
    <dataValidation type="decimal" showErrorMessage="1" errorTitle="Kesalahan Jenis Data" error="Data yang dimasukkan harus berupa Angka!" sqref="X68">
      <formula1>-1000000000000000000</formula1>
      <formula2>1000000000000000000</formula2>
    </dataValidation>
    <dataValidation type="decimal" showErrorMessage="1" errorTitle="Kesalahan Jenis Data" error="Data yang dimasukkan harus berupa Angka!" sqref="Y68">
      <formula1>-1000000000000000000</formula1>
      <formula2>1000000000000000000</formula2>
    </dataValidation>
    <dataValidation type="decimal" showErrorMessage="1" errorTitle="Kesalahan Jenis Data" error="Data yang dimasukkan harus berupa Angka!" sqref="Z68">
      <formula1>-1000000000000000000</formula1>
      <formula2>1000000000000000000</formula2>
    </dataValidation>
    <dataValidation type="decimal" showErrorMessage="1" errorTitle="Kesalahan Jenis Data" error="Data yang dimasukkan harus berupa Angka!" sqref="AA68">
      <formula1>-1000000000000000000</formula1>
      <formula2>1000000000000000000</formula2>
    </dataValidation>
    <dataValidation type="decimal" showErrorMessage="1" errorTitle="Kesalahan Jenis Data" error="Data yang dimasukkan harus berupa Angka!" sqref="AB68">
      <formula1>-1000000000000000000</formula1>
      <formula2>1000000000000000000</formula2>
    </dataValidation>
    <dataValidation type="decimal" showErrorMessage="1" errorTitle="Kesalahan Jenis Data" error="Data yang dimasukkan harus berupa Angka!" sqref="AC68">
      <formula1>-1000000000000000000</formula1>
      <formula2>1000000000000000000</formula2>
    </dataValidation>
    <dataValidation type="decimal" showErrorMessage="1" errorTitle="Kesalahan Jenis Data" error="Data yang dimasukkan harus berupa Angka!" sqref="AD68">
      <formula1>-1000000000000000000</formula1>
      <formula2>1000000000000000000</formula2>
    </dataValidation>
    <dataValidation type="decimal" showErrorMessage="1" errorTitle="Kesalahan Jenis Data" error="Data yang dimasukkan harus berupa Angka!" sqref="AE68">
      <formula1>-1000000000000000000</formula1>
      <formula2>1000000000000000000</formula2>
    </dataValidation>
    <dataValidation type="decimal" showErrorMessage="1" errorTitle="Kesalahan Jenis Data" error="Data yang dimasukkan harus berupa Angka!" sqref="AF68">
      <formula1>-1000000000000000000</formula1>
      <formula2>1000000000000000000</formula2>
    </dataValidation>
    <dataValidation type="decimal" showErrorMessage="1" errorTitle="Kesalahan Jenis Data" error="Data yang dimasukkan harus berupa Angka!" sqref="AG68">
      <formula1>-1000000000000000000</formula1>
      <formula2>1000000000000000000</formula2>
    </dataValidation>
    <dataValidation type="decimal" showErrorMessage="1" errorTitle="Kesalahan Jenis Data" error="Data yang dimasukkan harus berupa Angka!" sqref="AH68">
      <formula1>-1000000000000000000</formula1>
      <formula2>1000000000000000000</formula2>
    </dataValidation>
    <dataValidation type="decimal" showErrorMessage="1" errorTitle="Kesalahan Jenis Data" error="Data yang dimasukkan harus berupa Angka!" sqref="AI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ate" showErrorMessage="1" errorTitle="Kesalahan Jenis Data" error="Data yang dimasukkan harus berupa tanggal!" sqref="N69">
      <formula1>0</formula1>
      <formula2>2958465.99999999</formula2>
    </dataValidation>
    <dataValidation type="date" showErrorMessage="1" errorTitle="Kesalahan Jenis Data" error="Data yang dimasukkan harus berupa tanggal!" sqref="O69">
      <formula1>0</formula1>
      <formula2>2958465.99999999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V69">
      <formula1>-1000000000000000000</formula1>
      <formula2>1000000000000000000</formula2>
    </dataValidation>
    <dataValidation type="decimal" showErrorMessage="1" errorTitle="Kesalahan Jenis Data" error="Data yang dimasukkan harus berupa Angka!" sqref="W69">
      <formula1>-1000000000000000000</formula1>
      <formula2>1000000000000000000</formula2>
    </dataValidation>
    <dataValidation type="decimal" showErrorMessage="1" errorTitle="Kesalahan Jenis Data" error="Data yang dimasukkan harus berupa Angka!" sqref="X69">
      <formula1>-1000000000000000000</formula1>
      <formula2>1000000000000000000</formula2>
    </dataValidation>
    <dataValidation type="decimal" showErrorMessage="1" errorTitle="Kesalahan Jenis Data" error="Data yang dimasukkan harus berupa Angka!" sqref="Y69">
      <formula1>-1000000000000000000</formula1>
      <formula2>1000000000000000000</formula2>
    </dataValidation>
    <dataValidation type="decimal" showErrorMessage="1" errorTitle="Kesalahan Jenis Data" error="Data yang dimasukkan harus berupa Angka!" sqref="Z69">
      <formula1>-1000000000000000000</formula1>
      <formula2>1000000000000000000</formula2>
    </dataValidation>
    <dataValidation type="decimal" showErrorMessage="1" errorTitle="Kesalahan Jenis Data" error="Data yang dimasukkan harus berupa Angka!" sqref="AA69">
      <formula1>-1000000000000000000</formula1>
      <formula2>1000000000000000000</formula2>
    </dataValidation>
    <dataValidation type="decimal" showErrorMessage="1" errorTitle="Kesalahan Jenis Data" error="Data yang dimasukkan harus berupa Angka!" sqref="AB69">
      <formula1>-1000000000000000000</formula1>
      <formula2>1000000000000000000</formula2>
    </dataValidation>
    <dataValidation type="decimal" showErrorMessage="1" errorTitle="Kesalahan Jenis Data" error="Data yang dimasukkan harus berupa Angka!" sqref="AC69">
      <formula1>-1000000000000000000</formula1>
      <formula2>1000000000000000000</formula2>
    </dataValidation>
    <dataValidation type="decimal" showErrorMessage="1" errorTitle="Kesalahan Jenis Data" error="Data yang dimasukkan harus berupa Angka!" sqref="AD69">
      <formula1>-1000000000000000000</formula1>
      <formula2>1000000000000000000</formula2>
    </dataValidation>
    <dataValidation type="decimal" showErrorMessage="1" errorTitle="Kesalahan Jenis Data" error="Data yang dimasukkan harus berupa Angka!" sqref="AE69">
      <formula1>-1000000000000000000</formula1>
      <formula2>1000000000000000000</formula2>
    </dataValidation>
    <dataValidation type="decimal" showErrorMessage="1" errorTitle="Kesalahan Jenis Data" error="Data yang dimasukkan harus berupa Angka!" sqref="AF69">
      <formula1>-1000000000000000000</formula1>
      <formula2>1000000000000000000</formula2>
    </dataValidation>
    <dataValidation type="decimal" showErrorMessage="1" errorTitle="Kesalahan Jenis Data" error="Data yang dimasukkan harus berupa Angka!" sqref="AG69">
      <formula1>-1000000000000000000</formula1>
      <formula2>1000000000000000000</formula2>
    </dataValidation>
    <dataValidation type="decimal" showErrorMessage="1" errorTitle="Kesalahan Jenis Data" error="Data yang dimasukkan harus berupa Angka!" sqref="AH69">
      <formula1>-1000000000000000000</formula1>
      <formula2>1000000000000000000</formula2>
    </dataValidation>
    <dataValidation type="decimal" showErrorMessage="1" errorTitle="Kesalahan Jenis Data" error="Data yang dimasukkan harus berupa Angka!" sqref="AI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ate" showErrorMessage="1" errorTitle="Kesalahan Jenis Data" error="Data yang dimasukkan harus berupa tanggal!" sqref="N70">
      <formula1>0</formula1>
      <formula2>2958465.99999999</formula2>
    </dataValidation>
    <dataValidation type="date" showErrorMessage="1" errorTitle="Kesalahan Jenis Data" error="Data yang dimasukkan harus berupa tanggal!" sqref="O70">
      <formula1>0</formula1>
      <formula2>2958465.99999999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V70">
      <formula1>-1000000000000000000</formula1>
      <formula2>1000000000000000000</formula2>
    </dataValidation>
    <dataValidation type="decimal" showErrorMessage="1" errorTitle="Kesalahan Jenis Data" error="Data yang dimasukkan harus berupa Angka!" sqref="W70">
      <formula1>-1000000000000000000</formula1>
      <formula2>1000000000000000000</formula2>
    </dataValidation>
    <dataValidation type="decimal" showErrorMessage="1" errorTitle="Kesalahan Jenis Data" error="Data yang dimasukkan harus berupa Angka!" sqref="X70">
      <formula1>-1000000000000000000</formula1>
      <formula2>1000000000000000000</formula2>
    </dataValidation>
    <dataValidation type="decimal" showErrorMessage="1" errorTitle="Kesalahan Jenis Data" error="Data yang dimasukkan harus berupa Angka!" sqref="Y70">
      <formula1>-1000000000000000000</formula1>
      <formula2>1000000000000000000</formula2>
    </dataValidation>
    <dataValidation type="decimal" showErrorMessage="1" errorTitle="Kesalahan Jenis Data" error="Data yang dimasukkan harus berupa Angka!" sqref="Z70">
      <formula1>-1000000000000000000</formula1>
      <formula2>1000000000000000000</formula2>
    </dataValidation>
    <dataValidation type="decimal" showErrorMessage="1" errorTitle="Kesalahan Jenis Data" error="Data yang dimasukkan harus berupa Angka!" sqref="AA70">
      <formula1>-1000000000000000000</formula1>
      <formula2>1000000000000000000</formula2>
    </dataValidation>
    <dataValidation type="decimal" showErrorMessage="1" errorTitle="Kesalahan Jenis Data" error="Data yang dimasukkan harus berupa Angka!" sqref="AB70">
      <formula1>-1000000000000000000</formula1>
      <formula2>1000000000000000000</formula2>
    </dataValidation>
    <dataValidation type="decimal" showErrorMessage="1" errorTitle="Kesalahan Jenis Data" error="Data yang dimasukkan harus berupa Angka!" sqref="AC70">
      <formula1>-1000000000000000000</formula1>
      <formula2>1000000000000000000</formula2>
    </dataValidation>
    <dataValidation type="decimal" showErrorMessage="1" errorTitle="Kesalahan Jenis Data" error="Data yang dimasukkan harus berupa Angka!" sqref="AD70">
      <formula1>-1000000000000000000</formula1>
      <formula2>1000000000000000000</formula2>
    </dataValidation>
    <dataValidation type="decimal" showErrorMessage="1" errorTitle="Kesalahan Jenis Data" error="Data yang dimasukkan harus berupa Angka!" sqref="AE70">
      <formula1>-1000000000000000000</formula1>
      <formula2>1000000000000000000</formula2>
    </dataValidation>
    <dataValidation type="decimal" showErrorMessage="1" errorTitle="Kesalahan Jenis Data" error="Data yang dimasukkan harus berupa Angka!" sqref="AF70">
      <formula1>-1000000000000000000</formula1>
      <formula2>1000000000000000000</formula2>
    </dataValidation>
    <dataValidation type="decimal" showErrorMessage="1" errorTitle="Kesalahan Jenis Data" error="Data yang dimasukkan harus berupa Angka!" sqref="AG70">
      <formula1>-1000000000000000000</formula1>
      <formula2>1000000000000000000</formula2>
    </dataValidation>
    <dataValidation type="decimal" showErrorMessage="1" errorTitle="Kesalahan Jenis Data" error="Data yang dimasukkan harus berupa Angka!" sqref="AH70">
      <formula1>-1000000000000000000</formula1>
      <formula2>1000000000000000000</formula2>
    </dataValidation>
    <dataValidation type="decimal" showErrorMessage="1" errorTitle="Kesalahan Jenis Data" error="Data yang dimasukkan harus berupa Angka!" sqref="AI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ate" showErrorMessage="1" errorTitle="Kesalahan Jenis Data" error="Data yang dimasukkan harus berupa tanggal!" sqref="N71">
      <formula1>0</formula1>
      <formula2>2958465.99999999</formula2>
    </dataValidation>
    <dataValidation type="date" showErrorMessage="1" errorTitle="Kesalahan Jenis Data" error="Data yang dimasukkan harus berupa tanggal!" sqref="O71">
      <formula1>0</formula1>
      <formula2>2958465.99999999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V71">
      <formula1>-1000000000000000000</formula1>
      <formula2>1000000000000000000</formula2>
    </dataValidation>
    <dataValidation type="decimal" showErrorMessage="1" errorTitle="Kesalahan Jenis Data" error="Data yang dimasukkan harus berupa Angka!" sqref="W71">
      <formula1>-1000000000000000000</formula1>
      <formula2>1000000000000000000</formula2>
    </dataValidation>
    <dataValidation type="decimal" showErrorMessage="1" errorTitle="Kesalahan Jenis Data" error="Data yang dimasukkan harus berupa Angka!" sqref="X71">
      <formula1>-1000000000000000000</formula1>
      <formula2>1000000000000000000</formula2>
    </dataValidation>
    <dataValidation type="decimal" showErrorMessage="1" errorTitle="Kesalahan Jenis Data" error="Data yang dimasukkan harus berupa Angka!" sqref="Y71">
      <formula1>-1000000000000000000</formula1>
      <formula2>1000000000000000000</formula2>
    </dataValidation>
    <dataValidation type="decimal" showErrorMessage="1" errorTitle="Kesalahan Jenis Data" error="Data yang dimasukkan harus berupa Angka!" sqref="Z71">
      <formula1>-1000000000000000000</formula1>
      <formula2>1000000000000000000</formula2>
    </dataValidation>
    <dataValidation type="decimal" showErrorMessage="1" errorTitle="Kesalahan Jenis Data" error="Data yang dimasukkan harus berupa Angka!" sqref="AA71">
      <formula1>-1000000000000000000</formula1>
      <formula2>1000000000000000000</formula2>
    </dataValidation>
    <dataValidation type="decimal" showErrorMessage="1" errorTitle="Kesalahan Jenis Data" error="Data yang dimasukkan harus berupa Angka!" sqref="AB71">
      <formula1>-1000000000000000000</formula1>
      <formula2>1000000000000000000</formula2>
    </dataValidation>
    <dataValidation type="decimal" showErrorMessage="1" errorTitle="Kesalahan Jenis Data" error="Data yang dimasukkan harus berupa Angka!" sqref="AC71">
      <formula1>-1000000000000000000</formula1>
      <formula2>1000000000000000000</formula2>
    </dataValidation>
    <dataValidation type="decimal" showErrorMessage="1" errorTitle="Kesalahan Jenis Data" error="Data yang dimasukkan harus berupa Angka!" sqref="AD71">
      <formula1>-1000000000000000000</formula1>
      <formula2>1000000000000000000</formula2>
    </dataValidation>
    <dataValidation type="decimal" showErrorMessage="1" errorTitle="Kesalahan Jenis Data" error="Data yang dimasukkan harus berupa Angka!" sqref="AE71">
      <formula1>-1000000000000000000</formula1>
      <formula2>1000000000000000000</formula2>
    </dataValidation>
    <dataValidation type="decimal" showErrorMessage="1" errorTitle="Kesalahan Jenis Data" error="Data yang dimasukkan harus berupa Angka!" sqref="AF71">
      <formula1>-1000000000000000000</formula1>
      <formula2>1000000000000000000</formula2>
    </dataValidation>
    <dataValidation type="decimal" showErrorMessage="1" errorTitle="Kesalahan Jenis Data" error="Data yang dimasukkan harus berupa Angka!" sqref="AG71">
      <formula1>-1000000000000000000</formula1>
      <formula2>1000000000000000000</formula2>
    </dataValidation>
    <dataValidation type="decimal" showErrorMessage="1" errorTitle="Kesalahan Jenis Data" error="Data yang dimasukkan harus berupa Angka!" sqref="AH71">
      <formula1>-1000000000000000000</formula1>
      <formula2>1000000000000000000</formula2>
    </dataValidation>
    <dataValidation type="decimal" showErrorMessage="1" errorTitle="Kesalahan Jenis Data" error="Data yang dimasukkan harus berupa Angka!" sqref="AI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ate" showErrorMessage="1" errorTitle="Kesalahan Jenis Data" error="Data yang dimasukkan harus berupa tanggal!" sqref="N72">
      <formula1>0</formula1>
      <formula2>2958465.99999999</formula2>
    </dataValidation>
    <dataValidation type="date" showErrorMessage="1" errorTitle="Kesalahan Jenis Data" error="Data yang dimasukkan harus berupa tanggal!" sqref="O72">
      <formula1>0</formula1>
      <formula2>2958465.99999999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V72">
      <formula1>-1000000000000000000</formula1>
      <formula2>1000000000000000000</formula2>
    </dataValidation>
    <dataValidation type="decimal" showErrorMessage="1" errorTitle="Kesalahan Jenis Data" error="Data yang dimasukkan harus berupa Angka!" sqref="W72">
      <formula1>-1000000000000000000</formula1>
      <formula2>1000000000000000000</formula2>
    </dataValidation>
    <dataValidation type="decimal" showErrorMessage="1" errorTitle="Kesalahan Jenis Data" error="Data yang dimasukkan harus berupa Angka!" sqref="X72">
      <formula1>-1000000000000000000</formula1>
      <formula2>1000000000000000000</formula2>
    </dataValidation>
    <dataValidation type="decimal" showErrorMessage="1" errorTitle="Kesalahan Jenis Data" error="Data yang dimasukkan harus berupa Angka!" sqref="Y72">
      <formula1>-1000000000000000000</formula1>
      <formula2>1000000000000000000</formula2>
    </dataValidation>
    <dataValidation type="decimal" showErrorMessage="1" errorTitle="Kesalahan Jenis Data" error="Data yang dimasukkan harus berupa Angka!" sqref="Z72">
      <formula1>-1000000000000000000</formula1>
      <formula2>1000000000000000000</formula2>
    </dataValidation>
    <dataValidation type="decimal" showErrorMessage="1" errorTitle="Kesalahan Jenis Data" error="Data yang dimasukkan harus berupa Angka!" sqref="AA72">
      <formula1>-1000000000000000000</formula1>
      <formula2>1000000000000000000</formula2>
    </dataValidation>
    <dataValidation type="decimal" showErrorMessage="1" errorTitle="Kesalahan Jenis Data" error="Data yang dimasukkan harus berupa Angka!" sqref="AB72">
      <formula1>-1000000000000000000</formula1>
      <formula2>1000000000000000000</formula2>
    </dataValidation>
    <dataValidation type="decimal" showErrorMessage="1" errorTitle="Kesalahan Jenis Data" error="Data yang dimasukkan harus berupa Angka!" sqref="AC72">
      <formula1>-1000000000000000000</formula1>
      <formula2>1000000000000000000</formula2>
    </dataValidation>
    <dataValidation type="decimal" showErrorMessage="1" errorTitle="Kesalahan Jenis Data" error="Data yang dimasukkan harus berupa Angka!" sqref="AD72">
      <formula1>-1000000000000000000</formula1>
      <formula2>1000000000000000000</formula2>
    </dataValidation>
    <dataValidation type="decimal" showErrorMessage="1" errorTitle="Kesalahan Jenis Data" error="Data yang dimasukkan harus berupa Angka!" sqref="AE72">
      <formula1>-1000000000000000000</formula1>
      <formula2>1000000000000000000</formula2>
    </dataValidation>
    <dataValidation type="decimal" showErrorMessage="1" errorTitle="Kesalahan Jenis Data" error="Data yang dimasukkan harus berupa Angka!" sqref="AF72">
      <formula1>-1000000000000000000</formula1>
      <formula2>1000000000000000000</formula2>
    </dataValidation>
    <dataValidation type="decimal" showErrorMessage="1" errorTitle="Kesalahan Jenis Data" error="Data yang dimasukkan harus berupa Angka!" sqref="AG72">
      <formula1>-1000000000000000000</formula1>
      <formula2>1000000000000000000</formula2>
    </dataValidation>
    <dataValidation type="decimal" showErrorMessage="1" errorTitle="Kesalahan Jenis Data" error="Data yang dimasukkan harus berupa Angka!" sqref="AH72">
      <formula1>-1000000000000000000</formula1>
      <formula2>1000000000000000000</formula2>
    </dataValidation>
    <dataValidation type="decimal" showErrorMessage="1" errorTitle="Kesalahan Jenis Data" error="Data yang dimasukkan harus berupa Angka!" sqref="AI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ate" showErrorMessage="1" errorTitle="Kesalahan Jenis Data" error="Data yang dimasukkan harus berupa tanggal!" sqref="N73">
      <formula1>0</formula1>
      <formula2>2958465.99999999</formula2>
    </dataValidation>
    <dataValidation type="date" showErrorMessage="1" errorTitle="Kesalahan Jenis Data" error="Data yang dimasukkan harus berupa tanggal!" sqref="O73">
      <formula1>0</formula1>
      <formula2>2958465.99999999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V73">
      <formula1>-1000000000000000000</formula1>
      <formula2>1000000000000000000</formula2>
    </dataValidation>
    <dataValidation type="decimal" showErrorMessage="1" errorTitle="Kesalahan Jenis Data" error="Data yang dimasukkan harus berupa Angka!" sqref="W73">
      <formula1>-1000000000000000000</formula1>
      <formula2>1000000000000000000</formula2>
    </dataValidation>
    <dataValidation type="decimal" showErrorMessage="1" errorTitle="Kesalahan Jenis Data" error="Data yang dimasukkan harus berupa Angka!" sqref="X73">
      <formula1>-1000000000000000000</formula1>
      <formula2>1000000000000000000</formula2>
    </dataValidation>
    <dataValidation type="decimal" showErrorMessage="1" errorTitle="Kesalahan Jenis Data" error="Data yang dimasukkan harus berupa Angka!" sqref="Y73">
      <formula1>-1000000000000000000</formula1>
      <formula2>1000000000000000000</formula2>
    </dataValidation>
    <dataValidation type="decimal" showErrorMessage="1" errorTitle="Kesalahan Jenis Data" error="Data yang dimasukkan harus berupa Angka!" sqref="Z73">
      <formula1>-1000000000000000000</formula1>
      <formula2>1000000000000000000</formula2>
    </dataValidation>
    <dataValidation type="decimal" showErrorMessage="1" errorTitle="Kesalahan Jenis Data" error="Data yang dimasukkan harus berupa Angka!" sqref="AA73">
      <formula1>-1000000000000000000</formula1>
      <formula2>1000000000000000000</formula2>
    </dataValidation>
    <dataValidation type="decimal" showErrorMessage="1" errorTitle="Kesalahan Jenis Data" error="Data yang dimasukkan harus berupa Angka!" sqref="AB73">
      <formula1>-1000000000000000000</formula1>
      <formula2>1000000000000000000</formula2>
    </dataValidation>
    <dataValidation type="decimal" showErrorMessage="1" errorTitle="Kesalahan Jenis Data" error="Data yang dimasukkan harus berupa Angka!" sqref="AC73">
      <formula1>-1000000000000000000</formula1>
      <formula2>1000000000000000000</formula2>
    </dataValidation>
    <dataValidation type="decimal" showErrorMessage="1" errorTitle="Kesalahan Jenis Data" error="Data yang dimasukkan harus berupa Angka!" sqref="AD73">
      <formula1>-1000000000000000000</formula1>
      <formula2>1000000000000000000</formula2>
    </dataValidation>
    <dataValidation type="decimal" showErrorMessage="1" errorTitle="Kesalahan Jenis Data" error="Data yang dimasukkan harus berupa Angka!" sqref="AE73">
      <formula1>-1000000000000000000</formula1>
      <formula2>1000000000000000000</formula2>
    </dataValidation>
    <dataValidation type="decimal" showErrorMessage="1" errorTitle="Kesalahan Jenis Data" error="Data yang dimasukkan harus berupa Angka!" sqref="AF73">
      <formula1>-1000000000000000000</formula1>
      <formula2>1000000000000000000</formula2>
    </dataValidation>
    <dataValidation type="decimal" showErrorMessage="1" errorTitle="Kesalahan Jenis Data" error="Data yang dimasukkan harus berupa Angka!" sqref="AG73">
      <formula1>-1000000000000000000</formula1>
      <formula2>1000000000000000000</formula2>
    </dataValidation>
    <dataValidation type="decimal" showErrorMessage="1" errorTitle="Kesalahan Jenis Data" error="Data yang dimasukkan harus berupa Angka!" sqref="AH73">
      <formula1>-1000000000000000000</formula1>
      <formula2>1000000000000000000</formula2>
    </dataValidation>
    <dataValidation type="decimal" showErrorMessage="1" errorTitle="Kesalahan Jenis Data" error="Data yang dimasukkan harus berupa Angka!" sqref="AI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ate" showErrorMessage="1" errorTitle="Kesalahan Jenis Data" error="Data yang dimasukkan harus berupa tanggal!" sqref="N74">
      <formula1>0</formula1>
      <formula2>2958465.99999999</formula2>
    </dataValidation>
    <dataValidation type="date" showErrorMessage="1" errorTitle="Kesalahan Jenis Data" error="Data yang dimasukkan harus berupa tanggal!" sqref="O74">
      <formula1>0</formula1>
      <formula2>2958465.99999999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V74">
      <formula1>-1000000000000000000</formula1>
      <formula2>1000000000000000000</formula2>
    </dataValidation>
    <dataValidation type="decimal" showErrorMessage="1" errorTitle="Kesalahan Jenis Data" error="Data yang dimasukkan harus berupa Angka!" sqref="W74">
      <formula1>-1000000000000000000</formula1>
      <formula2>1000000000000000000</formula2>
    </dataValidation>
    <dataValidation type="decimal" showErrorMessage="1" errorTitle="Kesalahan Jenis Data" error="Data yang dimasukkan harus berupa Angka!" sqref="X74">
      <formula1>-1000000000000000000</formula1>
      <formula2>1000000000000000000</formula2>
    </dataValidation>
    <dataValidation type="decimal" showErrorMessage="1" errorTitle="Kesalahan Jenis Data" error="Data yang dimasukkan harus berupa Angka!" sqref="Y74">
      <formula1>-1000000000000000000</formula1>
      <formula2>1000000000000000000</formula2>
    </dataValidation>
    <dataValidation type="decimal" showErrorMessage="1" errorTitle="Kesalahan Jenis Data" error="Data yang dimasukkan harus berupa Angka!" sqref="Z74">
      <formula1>-1000000000000000000</formula1>
      <formula2>1000000000000000000</formula2>
    </dataValidation>
    <dataValidation type="decimal" showErrorMessage="1" errorTitle="Kesalahan Jenis Data" error="Data yang dimasukkan harus berupa Angka!" sqref="AA74">
      <formula1>-1000000000000000000</formula1>
      <formula2>1000000000000000000</formula2>
    </dataValidation>
    <dataValidation type="decimal" showErrorMessage="1" errorTitle="Kesalahan Jenis Data" error="Data yang dimasukkan harus berupa Angka!" sqref="AB74">
      <formula1>-1000000000000000000</formula1>
      <formula2>1000000000000000000</formula2>
    </dataValidation>
    <dataValidation type="decimal" showErrorMessage="1" errorTitle="Kesalahan Jenis Data" error="Data yang dimasukkan harus berupa Angka!" sqref="AC74">
      <formula1>-1000000000000000000</formula1>
      <formula2>1000000000000000000</formula2>
    </dataValidation>
    <dataValidation type="decimal" showErrorMessage="1" errorTitle="Kesalahan Jenis Data" error="Data yang dimasukkan harus berupa Angka!" sqref="AD74">
      <formula1>-1000000000000000000</formula1>
      <formula2>1000000000000000000</formula2>
    </dataValidation>
    <dataValidation type="decimal" showErrorMessage="1" errorTitle="Kesalahan Jenis Data" error="Data yang dimasukkan harus berupa Angka!" sqref="AE74">
      <formula1>-1000000000000000000</formula1>
      <formula2>1000000000000000000</formula2>
    </dataValidation>
    <dataValidation type="decimal" showErrorMessage="1" errorTitle="Kesalahan Jenis Data" error="Data yang dimasukkan harus berupa Angka!" sqref="AF74">
      <formula1>-1000000000000000000</formula1>
      <formula2>1000000000000000000</formula2>
    </dataValidation>
    <dataValidation type="decimal" showErrorMessage="1" errorTitle="Kesalahan Jenis Data" error="Data yang dimasukkan harus berupa Angka!" sqref="AG74">
      <formula1>-1000000000000000000</formula1>
      <formula2>1000000000000000000</formula2>
    </dataValidation>
    <dataValidation type="decimal" showErrorMessage="1" errorTitle="Kesalahan Jenis Data" error="Data yang dimasukkan harus berupa Angka!" sqref="AH74">
      <formula1>-1000000000000000000</formula1>
      <formula2>1000000000000000000</formula2>
    </dataValidation>
    <dataValidation type="decimal" showErrorMessage="1" errorTitle="Kesalahan Jenis Data" error="Data yang dimasukkan harus berupa Angka!" sqref="AI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ate" showErrorMessage="1" errorTitle="Kesalahan Jenis Data" error="Data yang dimasukkan harus berupa tanggal!" sqref="N75">
      <formula1>0</formula1>
      <formula2>2958465.99999999</formula2>
    </dataValidation>
    <dataValidation type="date" showErrorMessage="1" errorTitle="Kesalahan Jenis Data" error="Data yang dimasukkan harus berupa tanggal!" sqref="O75">
      <formula1>0</formula1>
      <formula2>2958465.99999999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V75">
      <formula1>-1000000000000000000</formula1>
      <formula2>1000000000000000000</formula2>
    </dataValidation>
    <dataValidation type="decimal" showErrorMessage="1" errorTitle="Kesalahan Jenis Data" error="Data yang dimasukkan harus berupa Angka!" sqref="W75">
      <formula1>-1000000000000000000</formula1>
      <formula2>1000000000000000000</formula2>
    </dataValidation>
    <dataValidation type="decimal" showErrorMessage="1" errorTitle="Kesalahan Jenis Data" error="Data yang dimasukkan harus berupa Angka!" sqref="X75">
      <formula1>-1000000000000000000</formula1>
      <formula2>1000000000000000000</formula2>
    </dataValidation>
    <dataValidation type="decimal" showErrorMessage="1" errorTitle="Kesalahan Jenis Data" error="Data yang dimasukkan harus berupa Angka!" sqref="Y75">
      <formula1>-1000000000000000000</formula1>
      <formula2>1000000000000000000</formula2>
    </dataValidation>
    <dataValidation type="decimal" showErrorMessage="1" errorTitle="Kesalahan Jenis Data" error="Data yang dimasukkan harus berupa Angka!" sqref="Z75">
      <formula1>-1000000000000000000</formula1>
      <formula2>1000000000000000000</formula2>
    </dataValidation>
    <dataValidation type="decimal" showErrorMessage="1" errorTitle="Kesalahan Jenis Data" error="Data yang dimasukkan harus berupa Angka!" sqref="AA75">
      <formula1>-1000000000000000000</formula1>
      <formula2>1000000000000000000</formula2>
    </dataValidation>
    <dataValidation type="decimal" showErrorMessage="1" errorTitle="Kesalahan Jenis Data" error="Data yang dimasukkan harus berupa Angka!" sqref="AB75">
      <formula1>-1000000000000000000</formula1>
      <formula2>1000000000000000000</formula2>
    </dataValidation>
    <dataValidation type="decimal" showErrorMessage="1" errorTitle="Kesalahan Jenis Data" error="Data yang dimasukkan harus berupa Angka!" sqref="AC75">
      <formula1>-1000000000000000000</formula1>
      <formula2>1000000000000000000</formula2>
    </dataValidation>
    <dataValidation type="decimal" showErrorMessage="1" errorTitle="Kesalahan Jenis Data" error="Data yang dimasukkan harus berupa Angka!" sqref="AD75">
      <formula1>-1000000000000000000</formula1>
      <formula2>1000000000000000000</formula2>
    </dataValidation>
    <dataValidation type="decimal" showErrorMessage="1" errorTitle="Kesalahan Jenis Data" error="Data yang dimasukkan harus berupa Angka!" sqref="AE75">
      <formula1>-1000000000000000000</formula1>
      <formula2>1000000000000000000</formula2>
    </dataValidation>
    <dataValidation type="decimal" showErrorMessage="1" errorTitle="Kesalahan Jenis Data" error="Data yang dimasukkan harus berupa Angka!" sqref="AF75">
      <formula1>-1000000000000000000</formula1>
      <formula2>1000000000000000000</formula2>
    </dataValidation>
    <dataValidation type="decimal" showErrorMessage="1" errorTitle="Kesalahan Jenis Data" error="Data yang dimasukkan harus berupa Angka!" sqref="AG75">
      <formula1>-1000000000000000000</formula1>
      <formula2>1000000000000000000</formula2>
    </dataValidation>
    <dataValidation type="decimal" showErrorMessage="1" errorTitle="Kesalahan Jenis Data" error="Data yang dimasukkan harus berupa Angka!" sqref="AH75">
      <formula1>-1000000000000000000</formula1>
      <formula2>1000000000000000000</formula2>
    </dataValidation>
    <dataValidation type="decimal" showErrorMessage="1" errorTitle="Kesalahan Jenis Data" error="Data yang dimasukkan harus berupa Angka!" sqref="AI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ate" showErrorMessage="1" errorTitle="Kesalahan Jenis Data" error="Data yang dimasukkan harus berupa tanggal!" sqref="N76">
      <formula1>0</formula1>
      <formula2>2958465.99999999</formula2>
    </dataValidation>
    <dataValidation type="date" showErrorMessage="1" errorTitle="Kesalahan Jenis Data" error="Data yang dimasukkan harus berupa tanggal!" sqref="O76">
      <formula1>0</formula1>
      <formula2>2958465.99999999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V76">
      <formula1>-1000000000000000000</formula1>
      <formula2>1000000000000000000</formula2>
    </dataValidation>
    <dataValidation type="decimal" showErrorMessage="1" errorTitle="Kesalahan Jenis Data" error="Data yang dimasukkan harus berupa Angka!" sqref="W76">
      <formula1>-1000000000000000000</formula1>
      <formula2>1000000000000000000</formula2>
    </dataValidation>
    <dataValidation type="decimal" showErrorMessage="1" errorTitle="Kesalahan Jenis Data" error="Data yang dimasukkan harus berupa Angka!" sqref="X76">
      <formula1>-1000000000000000000</formula1>
      <formula2>1000000000000000000</formula2>
    </dataValidation>
    <dataValidation type="decimal" showErrorMessage="1" errorTitle="Kesalahan Jenis Data" error="Data yang dimasukkan harus berupa Angka!" sqref="Y76">
      <formula1>-1000000000000000000</formula1>
      <formula2>1000000000000000000</formula2>
    </dataValidation>
    <dataValidation type="decimal" showErrorMessage="1" errorTitle="Kesalahan Jenis Data" error="Data yang dimasukkan harus berupa Angka!" sqref="Z76">
      <formula1>-1000000000000000000</formula1>
      <formula2>1000000000000000000</formula2>
    </dataValidation>
    <dataValidation type="decimal" showErrorMessage="1" errorTitle="Kesalahan Jenis Data" error="Data yang dimasukkan harus berupa Angka!" sqref="AA76">
      <formula1>-1000000000000000000</formula1>
      <formula2>1000000000000000000</formula2>
    </dataValidation>
    <dataValidation type="decimal" showErrorMessage="1" errorTitle="Kesalahan Jenis Data" error="Data yang dimasukkan harus berupa Angka!" sqref="AB76">
      <formula1>-1000000000000000000</formula1>
      <formula2>1000000000000000000</formula2>
    </dataValidation>
    <dataValidation type="decimal" showErrorMessage="1" errorTitle="Kesalahan Jenis Data" error="Data yang dimasukkan harus berupa Angka!" sqref="AC76">
      <formula1>-1000000000000000000</formula1>
      <formula2>1000000000000000000</formula2>
    </dataValidation>
    <dataValidation type="decimal" showErrorMessage="1" errorTitle="Kesalahan Jenis Data" error="Data yang dimasukkan harus berupa Angka!" sqref="AD76">
      <formula1>-1000000000000000000</formula1>
      <formula2>1000000000000000000</formula2>
    </dataValidation>
    <dataValidation type="decimal" showErrorMessage="1" errorTitle="Kesalahan Jenis Data" error="Data yang dimasukkan harus berupa Angka!" sqref="AE76">
      <formula1>-1000000000000000000</formula1>
      <formula2>1000000000000000000</formula2>
    </dataValidation>
    <dataValidation type="decimal" showErrorMessage="1" errorTitle="Kesalahan Jenis Data" error="Data yang dimasukkan harus berupa Angka!" sqref="AF76">
      <formula1>-1000000000000000000</formula1>
      <formula2>1000000000000000000</formula2>
    </dataValidation>
    <dataValidation type="decimal" showErrorMessage="1" errorTitle="Kesalahan Jenis Data" error="Data yang dimasukkan harus berupa Angka!" sqref="AG76">
      <formula1>-1000000000000000000</formula1>
      <formula2>1000000000000000000</formula2>
    </dataValidation>
    <dataValidation type="decimal" showErrorMessage="1" errorTitle="Kesalahan Jenis Data" error="Data yang dimasukkan harus berupa Angka!" sqref="AH76">
      <formula1>-1000000000000000000</formula1>
      <formula2>1000000000000000000</formula2>
    </dataValidation>
    <dataValidation type="decimal" showErrorMessage="1" errorTitle="Kesalahan Jenis Data" error="Data yang dimasukkan harus berupa Angka!" sqref="AI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ate" showErrorMessage="1" errorTitle="Kesalahan Jenis Data" error="Data yang dimasukkan harus berupa tanggal!" sqref="N77">
      <formula1>0</formula1>
      <formula2>2958465.99999999</formula2>
    </dataValidation>
    <dataValidation type="date" showErrorMessage="1" errorTitle="Kesalahan Jenis Data" error="Data yang dimasukkan harus berupa tanggal!" sqref="O77">
      <formula1>0</formula1>
      <formula2>2958465.99999999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V77">
      <formula1>-1000000000000000000</formula1>
      <formula2>1000000000000000000</formula2>
    </dataValidation>
    <dataValidation type="decimal" showErrorMessage="1" errorTitle="Kesalahan Jenis Data" error="Data yang dimasukkan harus berupa Angka!" sqref="W77">
      <formula1>-1000000000000000000</formula1>
      <formula2>1000000000000000000</formula2>
    </dataValidation>
    <dataValidation type="decimal" showErrorMessage="1" errorTitle="Kesalahan Jenis Data" error="Data yang dimasukkan harus berupa Angka!" sqref="X77">
      <formula1>-1000000000000000000</formula1>
      <formula2>1000000000000000000</formula2>
    </dataValidation>
    <dataValidation type="decimal" showErrorMessage="1" errorTitle="Kesalahan Jenis Data" error="Data yang dimasukkan harus berupa Angka!" sqref="Y77">
      <formula1>-1000000000000000000</formula1>
      <formula2>1000000000000000000</formula2>
    </dataValidation>
    <dataValidation type="decimal" showErrorMessage="1" errorTitle="Kesalahan Jenis Data" error="Data yang dimasukkan harus berupa Angka!" sqref="Z77">
      <formula1>-1000000000000000000</formula1>
      <formula2>1000000000000000000</formula2>
    </dataValidation>
    <dataValidation type="decimal" showErrorMessage="1" errorTitle="Kesalahan Jenis Data" error="Data yang dimasukkan harus berupa Angka!" sqref="AA77">
      <formula1>-1000000000000000000</formula1>
      <formula2>1000000000000000000</formula2>
    </dataValidation>
    <dataValidation type="decimal" showErrorMessage="1" errorTitle="Kesalahan Jenis Data" error="Data yang dimasukkan harus berupa Angka!" sqref="AB77">
      <formula1>-1000000000000000000</formula1>
      <formula2>1000000000000000000</formula2>
    </dataValidation>
    <dataValidation type="decimal" showErrorMessage="1" errorTitle="Kesalahan Jenis Data" error="Data yang dimasukkan harus berupa Angka!" sqref="AC77">
      <formula1>-1000000000000000000</formula1>
      <formula2>1000000000000000000</formula2>
    </dataValidation>
    <dataValidation type="decimal" showErrorMessage="1" errorTitle="Kesalahan Jenis Data" error="Data yang dimasukkan harus berupa Angka!" sqref="AD77">
      <formula1>-1000000000000000000</formula1>
      <formula2>1000000000000000000</formula2>
    </dataValidation>
    <dataValidation type="decimal" showErrorMessage="1" errorTitle="Kesalahan Jenis Data" error="Data yang dimasukkan harus berupa Angka!" sqref="AE77">
      <formula1>-1000000000000000000</formula1>
      <formula2>1000000000000000000</formula2>
    </dataValidation>
    <dataValidation type="decimal" showErrorMessage="1" errorTitle="Kesalahan Jenis Data" error="Data yang dimasukkan harus berupa Angka!" sqref="AF77">
      <formula1>-1000000000000000000</formula1>
      <formula2>1000000000000000000</formula2>
    </dataValidation>
    <dataValidation type="decimal" showErrorMessage="1" errorTitle="Kesalahan Jenis Data" error="Data yang dimasukkan harus berupa Angka!" sqref="AG77">
      <formula1>-1000000000000000000</formula1>
      <formula2>1000000000000000000</formula2>
    </dataValidation>
    <dataValidation type="decimal" showErrorMessage="1" errorTitle="Kesalahan Jenis Data" error="Data yang dimasukkan harus berupa Angka!" sqref="AH77">
      <formula1>-1000000000000000000</formula1>
      <formula2>1000000000000000000</formula2>
    </dataValidation>
    <dataValidation type="decimal" showErrorMessage="1" errorTitle="Kesalahan Jenis Data" error="Data yang dimasukkan harus berupa Angka!" sqref="AI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ate" showErrorMessage="1" errorTitle="Kesalahan Jenis Data" error="Data yang dimasukkan harus berupa tanggal!" sqref="N78">
      <formula1>0</formula1>
      <formula2>2958465.99999999</formula2>
    </dataValidation>
    <dataValidation type="date" showErrorMessage="1" errorTitle="Kesalahan Jenis Data" error="Data yang dimasukkan harus berupa tanggal!" sqref="O78">
      <formula1>0</formula1>
      <formula2>2958465.99999999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V78">
      <formula1>-1000000000000000000</formula1>
      <formula2>1000000000000000000</formula2>
    </dataValidation>
    <dataValidation type="decimal" showErrorMessage="1" errorTitle="Kesalahan Jenis Data" error="Data yang dimasukkan harus berupa Angka!" sqref="W78">
      <formula1>-1000000000000000000</formula1>
      <formula2>1000000000000000000</formula2>
    </dataValidation>
    <dataValidation type="decimal" showErrorMessage="1" errorTitle="Kesalahan Jenis Data" error="Data yang dimasukkan harus berupa Angka!" sqref="X78">
      <formula1>-1000000000000000000</formula1>
      <formula2>1000000000000000000</formula2>
    </dataValidation>
    <dataValidation type="decimal" showErrorMessage="1" errorTitle="Kesalahan Jenis Data" error="Data yang dimasukkan harus berupa Angka!" sqref="Y78">
      <formula1>-1000000000000000000</formula1>
      <formula2>1000000000000000000</formula2>
    </dataValidation>
    <dataValidation type="decimal" showErrorMessage="1" errorTitle="Kesalahan Jenis Data" error="Data yang dimasukkan harus berupa Angka!" sqref="Z78">
      <formula1>-1000000000000000000</formula1>
      <formula2>1000000000000000000</formula2>
    </dataValidation>
    <dataValidation type="decimal" showErrorMessage="1" errorTitle="Kesalahan Jenis Data" error="Data yang dimasukkan harus berupa Angka!" sqref="AA78">
      <formula1>-1000000000000000000</formula1>
      <formula2>1000000000000000000</formula2>
    </dataValidation>
    <dataValidation type="decimal" showErrorMessage="1" errorTitle="Kesalahan Jenis Data" error="Data yang dimasukkan harus berupa Angka!" sqref="AB78">
      <formula1>-1000000000000000000</formula1>
      <formula2>1000000000000000000</formula2>
    </dataValidation>
    <dataValidation type="decimal" showErrorMessage="1" errorTitle="Kesalahan Jenis Data" error="Data yang dimasukkan harus berupa Angka!" sqref="AC78">
      <formula1>-1000000000000000000</formula1>
      <formula2>1000000000000000000</formula2>
    </dataValidation>
    <dataValidation type="decimal" showErrorMessage="1" errorTitle="Kesalahan Jenis Data" error="Data yang dimasukkan harus berupa Angka!" sqref="AD78">
      <formula1>-1000000000000000000</formula1>
      <formula2>1000000000000000000</formula2>
    </dataValidation>
    <dataValidation type="decimal" showErrorMessage="1" errorTitle="Kesalahan Jenis Data" error="Data yang dimasukkan harus berupa Angka!" sqref="AE78">
      <formula1>-1000000000000000000</formula1>
      <formula2>1000000000000000000</formula2>
    </dataValidation>
    <dataValidation type="decimal" showErrorMessage="1" errorTitle="Kesalahan Jenis Data" error="Data yang dimasukkan harus berupa Angka!" sqref="AF78">
      <formula1>-1000000000000000000</formula1>
      <formula2>1000000000000000000</formula2>
    </dataValidation>
    <dataValidation type="decimal" showErrorMessage="1" errorTitle="Kesalahan Jenis Data" error="Data yang dimasukkan harus berupa Angka!" sqref="AG78">
      <formula1>-1000000000000000000</formula1>
      <formula2>1000000000000000000</formula2>
    </dataValidation>
    <dataValidation type="decimal" showErrorMessage="1" errorTitle="Kesalahan Jenis Data" error="Data yang dimasukkan harus berupa Angka!" sqref="AH78">
      <formula1>-1000000000000000000</formula1>
      <formula2>1000000000000000000</formula2>
    </dataValidation>
    <dataValidation type="decimal" showErrorMessage="1" errorTitle="Kesalahan Jenis Data" error="Data yang dimasukkan harus berupa Angka!" sqref="AI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ate" showErrorMessage="1" errorTitle="Kesalahan Jenis Data" error="Data yang dimasukkan harus berupa tanggal!" sqref="N79">
      <formula1>0</formula1>
      <formula2>2958465.99999999</formula2>
    </dataValidation>
    <dataValidation type="date" showErrorMessage="1" errorTitle="Kesalahan Jenis Data" error="Data yang dimasukkan harus berupa tanggal!" sqref="O79">
      <formula1>0</formula1>
      <formula2>2958465.99999999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V79">
      <formula1>-1000000000000000000</formula1>
      <formula2>1000000000000000000</formula2>
    </dataValidation>
    <dataValidation type="decimal" showErrorMessage="1" errorTitle="Kesalahan Jenis Data" error="Data yang dimasukkan harus berupa Angka!" sqref="W79">
      <formula1>-1000000000000000000</formula1>
      <formula2>1000000000000000000</formula2>
    </dataValidation>
    <dataValidation type="decimal" showErrorMessage="1" errorTitle="Kesalahan Jenis Data" error="Data yang dimasukkan harus berupa Angka!" sqref="X79">
      <formula1>-1000000000000000000</formula1>
      <formula2>1000000000000000000</formula2>
    </dataValidation>
    <dataValidation type="decimal" showErrorMessage="1" errorTitle="Kesalahan Jenis Data" error="Data yang dimasukkan harus berupa Angka!" sqref="Y79">
      <formula1>-1000000000000000000</formula1>
      <formula2>1000000000000000000</formula2>
    </dataValidation>
    <dataValidation type="decimal" showErrorMessage="1" errorTitle="Kesalahan Jenis Data" error="Data yang dimasukkan harus berupa Angka!" sqref="Z79">
      <formula1>-1000000000000000000</formula1>
      <formula2>1000000000000000000</formula2>
    </dataValidation>
    <dataValidation type="decimal" showErrorMessage="1" errorTitle="Kesalahan Jenis Data" error="Data yang dimasukkan harus berupa Angka!" sqref="AA79">
      <formula1>-1000000000000000000</formula1>
      <formula2>1000000000000000000</formula2>
    </dataValidation>
    <dataValidation type="decimal" showErrorMessage="1" errorTitle="Kesalahan Jenis Data" error="Data yang dimasukkan harus berupa Angka!" sqref="AB79">
      <formula1>-1000000000000000000</formula1>
      <formula2>1000000000000000000</formula2>
    </dataValidation>
    <dataValidation type="decimal" showErrorMessage="1" errorTitle="Kesalahan Jenis Data" error="Data yang dimasukkan harus berupa Angka!" sqref="AC79">
      <formula1>-1000000000000000000</formula1>
      <formula2>1000000000000000000</formula2>
    </dataValidation>
    <dataValidation type="decimal" showErrorMessage="1" errorTitle="Kesalahan Jenis Data" error="Data yang dimasukkan harus berupa Angka!" sqref="AD79">
      <formula1>-1000000000000000000</formula1>
      <formula2>1000000000000000000</formula2>
    </dataValidation>
    <dataValidation type="decimal" showErrorMessage="1" errorTitle="Kesalahan Jenis Data" error="Data yang dimasukkan harus berupa Angka!" sqref="AE79">
      <formula1>-1000000000000000000</formula1>
      <formula2>1000000000000000000</formula2>
    </dataValidation>
    <dataValidation type="decimal" showErrorMessage="1" errorTitle="Kesalahan Jenis Data" error="Data yang dimasukkan harus berupa Angka!" sqref="AF79">
      <formula1>-1000000000000000000</formula1>
      <formula2>1000000000000000000</formula2>
    </dataValidation>
    <dataValidation type="decimal" showErrorMessage="1" errorTitle="Kesalahan Jenis Data" error="Data yang dimasukkan harus berupa Angka!" sqref="AG79">
      <formula1>-1000000000000000000</formula1>
      <formula2>1000000000000000000</formula2>
    </dataValidation>
    <dataValidation type="decimal" showErrorMessage="1" errorTitle="Kesalahan Jenis Data" error="Data yang dimasukkan harus berupa Angka!" sqref="AH79">
      <formula1>-1000000000000000000</formula1>
      <formula2>1000000000000000000</formula2>
    </dataValidation>
    <dataValidation type="decimal" showErrorMessage="1" errorTitle="Kesalahan Jenis Data" error="Data yang dimasukkan harus berupa Angka!" sqref="AI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ate" showErrorMessage="1" errorTitle="Kesalahan Jenis Data" error="Data yang dimasukkan harus berupa tanggal!" sqref="N80">
      <formula1>0</formula1>
      <formula2>2958465.99999999</formula2>
    </dataValidation>
    <dataValidation type="date" showErrorMessage="1" errorTitle="Kesalahan Jenis Data" error="Data yang dimasukkan harus berupa tanggal!" sqref="O80">
      <formula1>0</formula1>
      <formula2>2958465.99999999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V80">
      <formula1>-1000000000000000000</formula1>
      <formula2>1000000000000000000</formula2>
    </dataValidation>
    <dataValidation type="decimal" showErrorMessage="1" errorTitle="Kesalahan Jenis Data" error="Data yang dimasukkan harus berupa Angka!" sqref="W80">
      <formula1>-1000000000000000000</formula1>
      <formula2>1000000000000000000</formula2>
    </dataValidation>
    <dataValidation type="decimal" showErrorMessage="1" errorTitle="Kesalahan Jenis Data" error="Data yang dimasukkan harus berupa Angka!" sqref="X80">
      <formula1>-1000000000000000000</formula1>
      <formula2>1000000000000000000</formula2>
    </dataValidation>
    <dataValidation type="decimal" showErrorMessage="1" errorTitle="Kesalahan Jenis Data" error="Data yang dimasukkan harus berupa Angka!" sqref="Y80">
      <formula1>-1000000000000000000</formula1>
      <formula2>1000000000000000000</formula2>
    </dataValidation>
    <dataValidation type="decimal" showErrorMessage="1" errorTitle="Kesalahan Jenis Data" error="Data yang dimasukkan harus berupa Angka!" sqref="Z80">
      <formula1>-1000000000000000000</formula1>
      <formula2>1000000000000000000</formula2>
    </dataValidation>
    <dataValidation type="decimal" showErrorMessage="1" errorTitle="Kesalahan Jenis Data" error="Data yang dimasukkan harus berupa Angka!" sqref="AA80">
      <formula1>-1000000000000000000</formula1>
      <formula2>1000000000000000000</formula2>
    </dataValidation>
    <dataValidation type="decimal" showErrorMessage="1" errorTitle="Kesalahan Jenis Data" error="Data yang dimasukkan harus berupa Angka!" sqref="AB80">
      <formula1>-1000000000000000000</formula1>
      <formula2>1000000000000000000</formula2>
    </dataValidation>
    <dataValidation type="decimal" showErrorMessage="1" errorTitle="Kesalahan Jenis Data" error="Data yang dimasukkan harus berupa Angka!" sqref="AC80">
      <formula1>-1000000000000000000</formula1>
      <formula2>1000000000000000000</formula2>
    </dataValidation>
    <dataValidation type="decimal" showErrorMessage="1" errorTitle="Kesalahan Jenis Data" error="Data yang dimasukkan harus berupa Angka!" sqref="AD80">
      <formula1>-1000000000000000000</formula1>
      <formula2>1000000000000000000</formula2>
    </dataValidation>
    <dataValidation type="decimal" showErrorMessage="1" errorTitle="Kesalahan Jenis Data" error="Data yang dimasukkan harus berupa Angka!" sqref="AE80">
      <formula1>-1000000000000000000</formula1>
      <formula2>1000000000000000000</formula2>
    </dataValidation>
    <dataValidation type="decimal" showErrorMessage="1" errorTitle="Kesalahan Jenis Data" error="Data yang dimasukkan harus berupa Angka!" sqref="AF80">
      <formula1>-1000000000000000000</formula1>
      <formula2>1000000000000000000</formula2>
    </dataValidation>
    <dataValidation type="decimal" showErrorMessage="1" errorTitle="Kesalahan Jenis Data" error="Data yang dimasukkan harus berupa Angka!" sqref="AG80">
      <formula1>-1000000000000000000</formula1>
      <formula2>1000000000000000000</formula2>
    </dataValidation>
    <dataValidation type="decimal" showErrorMessage="1" errorTitle="Kesalahan Jenis Data" error="Data yang dimasukkan harus berupa Angka!" sqref="AH80">
      <formula1>-1000000000000000000</formula1>
      <formula2>1000000000000000000</formula2>
    </dataValidation>
    <dataValidation type="decimal" showErrorMessage="1" errorTitle="Kesalahan Jenis Data" error="Data yang dimasukkan harus berupa Angka!" sqref="AI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ate" showErrorMessage="1" errorTitle="Kesalahan Jenis Data" error="Data yang dimasukkan harus berupa tanggal!" sqref="N81">
      <formula1>0</formula1>
      <formula2>2958465.99999999</formula2>
    </dataValidation>
    <dataValidation type="date" showErrorMessage="1" errorTitle="Kesalahan Jenis Data" error="Data yang dimasukkan harus berupa tanggal!" sqref="O81">
      <formula1>0</formula1>
      <formula2>2958465.99999999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V81">
      <formula1>-1000000000000000000</formula1>
      <formula2>1000000000000000000</formula2>
    </dataValidation>
    <dataValidation type="decimal" showErrorMessage="1" errorTitle="Kesalahan Jenis Data" error="Data yang dimasukkan harus berupa Angka!" sqref="W81">
      <formula1>-1000000000000000000</formula1>
      <formula2>1000000000000000000</formula2>
    </dataValidation>
    <dataValidation type="decimal" showErrorMessage="1" errorTitle="Kesalahan Jenis Data" error="Data yang dimasukkan harus berupa Angka!" sqref="X81">
      <formula1>-1000000000000000000</formula1>
      <formula2>1000000000000000000</formula2>
    </dataValidation>
    <dataValidation type="decimal" showErrorMessage="1" errorTitle="Kesalahan Jenis Data" error="Data yang dimasukkan harus berupa Angka!" sqref="Y81">
      <formula1>-1000000000000000000</formula1>
      <formula2>1000000000000000000</formula2>
    </dataValidation>
    <dataValidation type="decimal" showErrorMessage="1" errorTitle="Kesalahan Jenis Data" error="Data yang dimasukkan harus berupa Angka!" sqref="Z81">
      <formula1>-1000000000000000000</formula1>
      <formula2>1000000000000000000</formula2>
    </dataValidation>
    <dataValidation type="decimal" showErrorMessage="1" errorTitle="Kesalahan Jenis Data" error="Data yang dimasukkan harus berupa Angka!" sqref="AA81">
      <formula1>-1000000000000000000</formula1>
      <formula2>1000000000000000000</formula2>
    </dataValidation>
    <dataValidation type="decimal" showErrorMessage="1" errorTitle="Kesalahan Jenis Data" error="Data yang dimasukkan harus berupa Angka!" sqref="AB81">
      <formula1>-1000000000000000000</formula1>
      <formula2>1000000000000000000</formula2>
    </dataValidation>
    <dataValidation type="decimal" showErrorMessage="1" errorTitle="Kesalahan Jenis Data" error="Data yang dimasukkan harus berupa Angka!" sqref="AC81">
      <formula1>-1000000000000000000</formula1>
      <formula2>1000000000000000000</formula2>
    </dataValidation>
    <dataValidation type="decimal" showErrorMessage="1" errorTitle="Kesalahan Jenis Data" error="Data yang dimasukkan harus berupa Angka!" sqref="AD81">
      <formula1>-1000000000000000000</formula1>
      <formula2>1000000000000000000</formula2>
    </dataValidation>
    <dataValidation type="decimal" showErrorMessage="1" errorTitle="Kesalahan Jenis Data" error="Data yang dimasukkan harus berupa Angka!" sqref="AE81">
      <formula1>-1000000000000000000</formula1>
      <formula2>1000000000000000000</formula2>
    </dataValidation>
    <dataValidation type="decimal" showErrorMessage="1" errorTitle="Kesalahan Jenis Data" error="Data yang dimasukkan harus berupa Angka!" sqref="AF81">
      <formula1>-1000000000000000000</formula1>
      <formula2>1000000000000000000</formula2>
    </dataValidation>
    <dataValidation type="decimal" showErrorMessage="1" errorTitle="Kesalahan Jenis Data" error="Data yang dimasukkan harus berupa Angka!" sqref="AG81">
      <formula1>-1000000000000000000</formula1>
      <formula2>1000000000000000000</formula2>
    </dataValidation>
    <dataValidation type="decimal" showErrorMessage="1" errorTitle="Kesalahan Jenis Data" error="Data yang dimasukkan harus berupa Angka!" sqref="AH81">
      <formula1>-1000000000000000000</formula1>
      <formula2>1000000000000000000</formula2>
    </dataValidation>
    <dataValidation type="decimal" showErrorMessage="1" errorTitle="Kesalahan Jenis Data" error="Data yang dimasukkan harus berupa Angka!" sqref="AI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ate" showErrorMessage="1" errorTitle="Kesalahan Jenis Data" error="Data yang dimasukkan harus berupa tanggal!" sqref="N82">
      <formula1>0</formula1>
      <formula2>2958465.99999999</formula2>
    </dataValidation>
    <dataValidation type="date" showErrorMessage="1" errorTitle="Kesalahan Jenis Data" error="Data yang dimasukkan harus berupa tanggal!" sqref="O82">
      <formula1>0</formula1>
      <formula2>2958465.99999999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V82">
      <formula1>-1000000000000000000</formula1>
      <formula2>1000000000000000000</formula2>
    </dataValidation>
    <dataValidation type="decimal" showErrorMessage="1" errorTitle="Kesalahan Jenis Data" error="Data yang dimasukkan harus berupa Angka!" sqref="W82">
      <formula1>-1000000000000000000</formula1>
      <formula2>1000000000000000000</formula2>
    </dataValidation>
    <dataValidation type="decimal" showErrorMessage="1" errorTitle="Kesalahan Jenis Data" error="Data yang dimasukkan harus berupa Angka!" sqref="X82">
      <formula1>-1000000000000000000</formula1>
      <formula2>1000000000000000000</formula2>
    </dataValidation>
    <dataValidation type="decimal" showErrorMessage="1" errorTitle="Kesalahan Jenis Data" error="Data yang dimasukkan harus berupa Angka!" sqref="Y82">
      <formula1>-1000000000000000000</formula1>
      <formula2>1000000000000000000</formula2>
    </dataValidation>
    <dataValidation type="decimal" showErrorMessage="1" errorTitle="Kesalahan Jenis Data" error="Data yang dimasukkan harus berupa Angka!" sqref="Z82">
      <formula1>-1000000000000000000</formula1>
      <formula2>1000000000000000000</formula2>
    </dataValidation>
    <dataValidation type="decimal" showErrorMessage="1" errorTitle="Kesalahan Jenis Data" error="Data yang dimasukkan harus berupa Angka!" sqref="AA82">
      <formula1>-1000000000000000000</formula1>
      <formula2>1000000000000000000</formula2>
    </dataValidation>
    <dataValidation type="decimal" showErrorMessage="1" errorTitle="Kesalahan Jenis Data" error="Data yang dimasukkan harus berupa Angka!" sqref="AB82">
      <formula1>-1000000000000000000</formula1>
      <formula2>1000000000000000000</formula2>
    </dataValidation>
    <dataValidation type="decimal" showErrorMessage="1" errorTitle="Kesalahan Jenis Data" error="Data yang dimasukkan harus berupa Angka!" sqref="AC82">
      <formula1>-1000000000000000000</formula1>
      <formula2>1000000000000000000</formula2>
    </dataValidation>
    <dataValidation type="decimal" showErrorMessage="1" errorTitle="Kesalahan Jenis Data" error="Data yang dimasukkan harus berupa Angka!" sqref="AD82">
      <formula1>-1000000000000000000</formula1>
      <formula2>1000000000000000000</formula2>
    </dataValidation>
    <dataValidation type="decimal" showErrorMessage="1" errorTitle="Kesalahan Jenis Data" error="Data yang dimasukkan harus berupa Angka!" sqref="AE82">
      <formula1>-1000000000000000000</formula1>
      <formula2>1000000000000000000</formula2>
    </dataValidation>
    <dataValidation type="decimal" showErrorMessage="1" errorTitle="Kesalahan Jenis Data" error="Data yang dimasukkan harus berupa Angka!" sqref="AF82">
      <formula1>-1000000000000000000</formula1>
      <formula2>1000000000000000000</formula2>
    </dataValidation>
    <dataValidation type="decimal" showErrorMessage="1" errorTitle="Kesalahan Jenis Data" error="Data yang dimasukkan harus berupa Angka!" sqref="AG82">
      <formula1>-1000000000000000000</formula1>
      <formula2>1000000000000000000</formula2>
    </dataValidation>
    <dataValidation type="decimal" showErrorMessage="1" errorTitle="Kesalahan Jenis Data" error="Data yang dimasukkan harus berupa Angka!" sqref="AH82">
      <formula1>-1000000000000000000</formula1>
      <formula2>1000000000000000000</formula2>
    </dataValidation>
    <dataValidation type="decimal" showErrorMessage="1" errorTitle="Kesalahan Jenis Data" error="Data yang dimasukkan harus berupa Angka!" sqref="AI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ate" showErrorMessage="1" errorTitle="Kesalahan Jenis Data" error="Data yang dimasukkan harus berupa tanggal!" sqref="N83">
      <formula1>0</formula1>
      <formula2>2958465.99999999</formula2>
    </dataValidation>
    <dataValidation type="date" showErrorMessage="1" errorTitle="Kesalahan Jenis Data" error="Data yang dimasukkan harus berupa tanggal!" sqref="O83">
      <formula1>0</formula1>
      <formula2>2958465.99999999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V83">
      <formula1>-1000000000000000000</formula1>
      <formula2>1000000000000000000</formula2>
    </dataValidation>
    <dataValidation type="decimal" showErrorMessage="1" errorTitle="Kesalahan Jenis Data" error="Data yang dimasukkan harus berupa Angka!" sqref="W83">
      <formula1>-1000000000000000000</formula1>
      <formula2>1000000000000000000</formula2>
    </dataValidation>
    <dataValidation type="decimal" showErrorMessage="1" errorTitle="Kesalahan Jenis Data" error="Data yang dimasukkan harus berupa Angka!" sqref="X83">
      <formula1>-1000000000000000000</formula1>
      <formula2>1000000000000000000</formula2>
    </dataValidation>
    <dataValidation type="decimal" showErrorMessage="1" errorTitle="Kesalahan Jenis Data" error="Data yang dimasukkan harus berupa Angka!" sqref="Y83">
      <formula1>-1000000000000000000</formula1>
      <formula2>1000000000000000000</formula2>
    </dataValidation>
    <dataValidation type="decimal" showErrorMessage="1" errorTitle="Kesalahan Jenis Data" error="Data yang dimasukkan harus berupa Angka!" sqref="Z83">
      <formula1>-1000000000000000000</formula1>
      <formula2>1000000000000000000</formula2>
    </dataValidation>
    <dataValidation type="decimal" showErrorMessage="1" errorTitle="Kesalahan Jenis Data" error="Data yang dimasukkan harus berupa Angka!" sqref="AA83">
      <formula1>-1000000000000000000</formula1>
      <formula2>1000000000000000000</formula2>
    </dataValidation>
    <dataValidation type="decimal" showErrorMessage="1" errorTitle="Kesalahan Jenis Data" error="Data yang dimasukkan harus berupa Angka!" sqref="AB83">
      <formula1>-1000000000000000000</formula1>
      <formula2>1000000000000000000</formula2>
    </dataValidation>
    <dataValidation type="decimal" showErrorMessage="1" errorTitle="Kesalahan Jenis Data" error="Data yang dimasukkan harus berupa Angka!" sqref="AC83">
      <formula1>-1000000000000000000</formula1>
      <formula2>1000000000000000000</formula2>
    </dataValidation>
    <dataValidation type="decimal" showErrorMessage="1" errorTitle="Kesalahan Jenis Data" error="Data yang dimasukkan harus berupa Angka!" sqref="AD83">
      <formula1>-1000000000000000000</formula1>
      <formula2>1000000000000000000</formula2>
    </dataValidation>
    <dataValidation type="decimal" showErrorMessage="1" errorTitle="Kesalahan Jenis Data" error="Data yang dimasukkan harus berupa Angka!" sqref="AE83">
      <formula1>-1000000000000000000</formula1>
      <formula2>1000000000000000000</formula2>
    </dataValidation>
    <dataValidation type="decimal" showErrorMessage="1" errorTitle="Kesalahan Jenis Data" error="Data yang dimasukkan harus berupa Angka!" sqref="AF83">
      <formula1>-1000000000000000000</formula1>
      <formula2>1000000000000000000</formula2>
    </dataValidation>
    <dataValidation type="decimal" showErrorMessage="1" errorTitle="Kesalahan Jenis Data" error="Data yang dimasukkan harus berupa Angka!" sqref="AG83">
      <formula1>-1000000000000000000</formula1>
      <formula2>1000000000000000000</formula2>
    </dataValidation>
    <dataValidation type="decimal" showErrorMessage="1" errorTitle="Kesalahan Jenis Data" error="Data yang dimasukkan harus berupa Angka!" sqref="AH83">
      <formula1>-1000000000000000000</formula1>
      <formula2>1000000000000000000</formula2>
    </dataValidation>
    <dataValidation type="decimal" showErrorMessage="1" errorTitle="Kesalahan Jenis Data" error="Data yang dimasukkan harus berupa Angka!" sqref="AI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ate" showErrorMessage="1" errorTitle="Kesalahan Jenis Data" error="Data yang dimasukkan harus berupa tanggal!" sqref="N84">
      <formula1>0</formula1>
      <formula2>2958465.99999999</formula2>
    </dataValidation>
    <dataValidation type="date" showErrorMessage="1" errorTitle="Kesalahan Jenis Data" error="Data yang dimasukkan harus berupa tanggal!" sqref="O84">
      <formula1>0</formula1>
      <formula2>2958465.99999999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V84">
      <formula1>-1000000000000000000</formula1>
      <formula2>1000000000000000000</formula2>
    </dataValidation>
    <dataValidation type="decimal" showErrorMessage="1" errorTitle="Kesalahan Jenis Data" error="Data yang dimasukkan harus berupa Angka!" sqref="W84">
      <formula1>-1000000000000000000</formula1>
      <formula2>1000000000000000000</formula2>
    </dataValidation>
    <dataValidation type="decimal" showErrorMessage="1" errorTitle="Kesalahan Jenis Data" error="Data yang dimasukkan harus berupa Angka!" sqref="X84">
      <formula1>-1000000000000000000</formula1>
      <formula2>1000000000000000000</formula2>
    </dataValidation>
    <dataValidation type="decimal" showErrorMessage="1" errorTitle="Kesalahan Jenis Data" error="Data yang dimasukkan harus berupa Angka!" sqref="Y84">
      <formula1>-1000000000000000000</formula1>
      <formula2>1000000000000000000</formula2>
    </dataValidation>
    <dataValidation type="decimal" showErrorMessage="1" errorTitle="Kesalahan Jenis Data" error="Data yang dimasukkan harus berupa Angka!" sqref="Z84">
      <formula1>-1000000000000000000</formula1>
      <formula2>1000000000000000000</formula2>
    </dataValidation>
    <dataValidation type="decimal" showErrorMessage="1" errorTitle="Kesalahan Jenis Data" error="Data yang dimasukkan harus berupa Angka!" sqref="AA84">
      <formula1>-1000000000000000000</formula1>
      <formula2>1000000000000000000</formula2>
    </dataValidation>
    <dataValidation type="decimal" showErrorMessage="1" errorTitle="Kesalahan Jenis Data" error="Data yang dimasukkan harus berupa Angka!" sqref="AB84">
      <formula1>-1000000000000000000</formula1>
      <formula2>1000000000000000000</formula2>
    </dataValidation>
    <dataValidation type="decimal" showErrorMessage="1" errorTitle="Kesalahan Jenis Data" error="Data yang dimasukkan harus berupa Angka!" sqref="AC84">
      <formula1>-1000000000000000000</formula1>
      <formula2>1000000000000000000</formula2>
    </dataValidation>
    <dataValidation type="decimal" showErrorMessage="1" errorTitle="Kesalahan Jenis Data" error="Data yang dimasukkan harus berupa Angka!" sqref="AD84">
      <formula1>-1000000000000000000</formula1>
      <formula2>1000000000000000000</formula2>
    </dataValidation>
    <dataValidation type="decimal" showErrorMessage="1" errorTitle="Kesalahan Jenis Data" error="Data yang dimasukkan harus berupa Angka!" sqref="AE84">
      <formula1>-1000000000000000000</formula1>
      <formula2>1000000000000000000</formula2>
    </dataValidation>
    <dataValidation type="decimal" showErrorMessage="1" errorTitle="Kesalahan Jenis Data" error="Data yang dimasukkan harus berupa Angka!" sqref="AF84">
      <formula1>-1000000000000000000</formula1>
      <formula2>1000000000000000000</formula2>
    </dataValidation>
    <dataValidation type="decimal" showErrorMessage="1" errorTitle="Kesalahan Jenis Data" error="Data yang dimasukkan harus berupa Angka!" sqref="AG84">
      <formula1>-1000000000000000000</formula1>
      <formula2>1000000000000000000</formula2>
    </dataValidation>
    <dataValidation type="decimal" showErrorMessage="1" errorTitle="Kesalahan Jenis Data" error="Data yang dimasukkan harus berupa Angka!" sqref="AH84">
      <formula1>-1000000000000000000</formula1>
      <formula2>1000000000000000000</formula2>
    </dataValidation>
    <dataValidation type="decimal" showErrorMessage="1" errorTitle="Kesalahan Jenis Data" error="Data yang dimasukkan harus berupa Angka!" sqref="AI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ate" showErrorMessage="1" errorTitle="Kesalahan Jenis Data" error="Data yang dimasukkan harus berupa tanggal!" sqref="N85">
      <formula1>0</formula1>
      <formula2>2958465.99999999</formula2>
    </dataValidation>
    <dataValidation type="date" showErrorMessage="1" errorTitle="Kesalahan Jenis Data" error="Data yang dimasukkan harus berupa tanggal!" sqref="O85">
      <formula1>0</formula1>
      <formula2>2958465.99999999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V85">
      <formula1>-1000000000000000000</formula1>
      <formula2>1000000000000000000</formula2>
    </dataValidation>
    <dataValidation type="decimal" showErrorMessage="1" errorTitle="Kesalahan Jenis Data" error="Data yang dimasukkan harus berupa Angka!" sqref="W85">
      <formula1>-1000000000000000000</formula1>
      <formula2>1000000000000000000</formula2>
    </dataValidation>
    <dataValidation type="decimal" showErrorMessage="1" errorTitle="Kesalahan Jenis Data" error="Data yang dimasukkan harus berupa Angka!" sqref="X85">
      <formula1>-1000000000000000000</formula1>
      <formula2>1000000000000000000</formula2>
    </dataValidation>
    <dataValidation type="decimal" showErrorMessage="1" errorTitle="Kesalahan Jenis Data" error="Data yang dimasukkan harus berupa Angka!" sqref="Y85">
      <formula1>-1000000000000000000</formula1>
      <formula2>1000000000000000000</formula2>
    </dataValidation>
    <dataValidation type="decimal" showErrorMessage="1" errorTitle="Kesalahan Jenis Data" error="Data yang dimasukkan harus berupa Angka!" sqref="Z85">
      <formula1>-1000000000000000000</formula1>
      <formula2>1000000000000000000</formula2>
    </dataValidation>
    <dataValidation type="decimal" showErrorMessage="1" errorTitle="Kesalahan Jenis Data" error="Data yang dimasukkan harus berupa Angka!" sqref="AA85">
      <formula1>-1000000000000000000</formula1>
      <formula2>1000000000000000000</formula2>
    </dataValidation>
    <dataValidation type="decimal" showErrorMessage="1" errorTitle="Kesalahan Jenis Data" error="Data yang dimasukkan harus berupa Angka!" sqref="AB85">
      <formula1>-1000000000000000000</formula1>
      <formula2>1000000000000000000</formula2>
    </dataValidation>
    <dataValidation type="decimal" showErrorMessage="1" errorTitle="Kesalahan Jenis Data" error="Data yang dimasukkan harus berupa Angka!" sqref="AC85">
      <formula1>-1000000000000000000</formula1>
      <formula2>1000000000000000000</formula2>
    </dataValidation>
    <dataValidation type="decimal" showErrorMessage="1" errorTitle="Kesalahan Jenis Data" error="Data yang dimasukkan harus berupa Angka!" sqref="AD85">
      <formula1>-1000000000000000000</formula1>
      <formula2>1000000000000000000</formula2>
    </dataValidation>
    <dataValidation type="decimal" showErrorMessage="1" errorTitle="Kesalahan Jenis Data" error="Data yang dimasukkan harus berupa Angka!" sqref="AE85">
      <formula1>-1000000000000000000</formula1>
      <formula2>1000000000000000000</formula2>
    </dataValidation>
    <dataValidation type="decimal" showErrorMessage="1" errorTitle="Kesalahan Jenis Data" error="Data yang dimasukkan harus berupa Angka!" sqref="AF85">
      <formula1>-1000000000000000000</formula1>
      <formula2>1000000000000000000</formula2>
    </dataValidation>
    <dataValidation type="decimal" showErrorMessage="1" errorTitle="Kesalahan Jenis Data" error="Data yang dimasukkan harus berupa Angka!" sqref="AG85">
      <formula1>-1000000000000000000</formula1>
      <formula2>1000000000000000000</formula2>
    </dataValidation>
    <dataValidation type="decimal" showErrorMessage="1" errorTitle="Kesalahan Jenis Data" error="Data yang dimasukkan harus berupa Angka!" sqref="AH85">
      <formula1>-1000000000000000000</formula1>
      <formula2>1000000000000000000</formula2>
    </dataValidation>
    <dataValidation type="decimal" showErrorMessage="1" errorTitle="Kesalahan Jenis Data" error="Data yang dimasukkan harus berupa Angka!" sqref="AI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ate" showErrorMessage="1" errorTitle="Kesalahan Jenis Data" error="Data yang dimasukkan harus berupa tanggal!" sqref="N86">
      <formula1>0</formula1>
      <formula2>2958465.99999999</formula2>
    </dataValidation>
    <dataValidation type="date" showErrorMessage="1" errorTitle="Kesalahan Jenis Data" error="Data yang dimasukkan harus berupa tanggal!" sqref="O86">
      <formula1>0</formula1>
      <formula2>2958465.99999999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V86">
      <formula1>-1000000000000000000</formula1>
      <formula2>1000000000000000000</formula2>
    </dataValidation>
    <dataValidation type="decimal" showErrorMessage="1" errorTitle="Kesalahan Jenis Data" error="Data yang dimasukkan harus berupa Angka!" sqref="W86">
      <formula1>-1000000000000000000</formula1>
      <formula2>1000000000000000000</formula2>
    </dataValidation>
    <dataValidation type="decimal" showErrorMessage="1" errorTitle="Kesalahan Jenis Data" error="Data yang dimasukkan harus berupa Angka!" sqref="X86">
      <formula1>-1000000000000000000</formula1>
      <formula2>1000000000000000000</formula2>
    </dataValidation>
    <dataValidation type="decimal" showErrorMessage="1" errorTitle="Kesalahan Jenis Data" error="Data yang dimasukkan harus berupa Angka!" sqref="Y86">
      <formula1>-1000000000000000000</formula1>
      <formula2>1000000000000000000</formula2>
    </dataValidation>
    <dataValidation type="decimal" showErrorMessage="1" errorTitle="Kesalahan Jenis Data" error="Data yang dimasukkan harus berupa Angka!" sqref="Z86">
      <formula1>-1000000000000000000</formula1>
      <formula2>1000000000000000000</formula2>
    </dataValidation>
    <dataValidation type="decimal" showErrorMessage="1" errorTitle="Kesalahan Jenis Data" error="Data yang dimasukkan harus berupa Angka!" sqref="AA86">
      <formula1>-1000000000000000000</formula1>
      <formula2>1000000000000000000</formula2>
    </dataValidation>
    <dataValidation type="decimal" showErrorMessage="1" errorTitle="Kesalahan Jenis Data" error="Data yang dimasukkan harus berupa Angka!" sqref="AB86">
      <formula1>-1000000000000000000</formula1>
      <formula2>1000000000000000000</formula2>
    </dataValidation>
    <dataValidation type="decimal" showErrorMessage="1" errorTitle="Kesalahan Jenis Data" error="Data yang dimasukkan harus berupa Angka!" sqref="AC86">
      <formula1>-1000000000000000000</formula1>
      <formula2>1000000000000000000</formula2>
    </dataValidation>
    <dataValidation type="decimal" showErrorMessage="1" errorTitle="Kesalahan Jenis Data" error="Data yang dimasukkan harus berupa Angka!" sqref="AD86">
      <formula1>-1000000000000000000</formula1>
      <formula2>1000000000000000000</formula2>
    </dataValidation>
    <dataValidation type="decimal" showErrorMessage="1" errorTitle="Kesalahan Jenis Data" error="Data yang dimasukkan harus berupa Angka!" sqref="AE86">
      <formula1>-1000000000000000000</formula1>
      <formula2>1000000000000000000</formula2>
    </dataValidation>
    <dataValidation type="decimal" showErrorMessage="1" errorTitle="Kesalahan Jenis Data" error="Data yang dimasukkan harus berupa Angka!" sqref="AF86">
      <formula1>-1000000000000000000</formula1>
      <formula2>1000000000000000000</formula2>
    </dataValidation>
    <dataValidation type="decimal" showErrorMessage="1" errorTitle="Kesalahan Jenis Data" error="Data yang dimasukkan harus berupa Angka!" sqref="AG86">
      <formula1>-1000000000000000000</formula1>
      <formula2>1000000000000000000</formula2>
    </dataValidation>
    <dataValidation type="decimal" showErrorMessage="1" errorTitle="Kesalahan Jenis Data" error="Data yang dimasukkan harus berupa Angka!" sqref="AH86">
      <formula1>-1000000000000000000</formula1>
      <formula2>1000000000000000000</formula2>
    </dataValidation>
    <dataValidation type="decimal" showErrorMessage="1" errorTitle="Kesalahan Jenis Data" error="Data yang dimasukkan harus berupa Angka!" sqref="AI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ate" showErrorMessage="1" errorTitle="Kesalahan Jenis Data" error="Data yang dimasukkan harus berupa tanggal!" sqref="N87">
      <formula1>0</formula1>
      <formula2>2958465.99999999</formula2>
    </dataValidation>
    <dataValidation type="date" showErrorMessage="1" errorTitle="Kesalahan Jenis Data" error="Data yang dimasukkan harus berupa tanggal!" sqref="O87">
      <formula1>0</formula1>
      <formula2>2958465.99999999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V87">
      <formula1>-1000000000000000000</formula1>
      <formula2>1000000000000000000</formula2>
    </dataValidation>
    <dataValidation type="decimal" showErrorMessage="1" errorTitle="Kesalahan Jenis Data" error="Data yang dimasukkan harus berupa Angka!" sqref="W87">
      <formula1>-1000000000000000000</formula1>
      <formula2>1000000000000000000</formula2>
    </dataValidation>
    <dataValidation type="decimal" showErrorMessage="1" errorTitle="Kesalahan Jenis Data" error="Data yang dimasukkan harus berupa Angka!" sqref="X87">
      <formula1>-1000000000000000000</formula1>
      <formula2>1000000000000000000</formula2>
    </dataValidation>
    <dataValidation type="decimal" showErrorMessage="1" errorTitle="Kesalahan Jenis Data" error="Data yang dimasukkan harus berupa Angka!" sqref="Y87">
      <formula1>-1000000000000000000</formula1>
      <formula2>1000000000000000000</formula2>
    </dataValidation>
    <dataValidation type="decimal" showErrorMessage="1" errorTitle="Kesalahan Jenis Data" error="Data yang dimasukkan harus berupa Angka!" sqref="Z87">
      <formula1>-1000000000000000000</formula1>
      <formula2>1000000000000000000</formula2>
    </dataValidation>
    <dataValidation type="decimal" showErrorMessage="1" errorTitle="Kesalahan Jenis Data" error="Data yang dimasukkan harus berupa Angka!" sqref="AA87">
      <formula1>-1000000000000000000</formula1>
      <formula2>1000000000000000000</formula2>
    </dataValidation>
    <dataValidation type="decimal" showErrorMessage="1" errorTitle="Kesalahan Jenis Data" error="Data yang dimasukkan harus berupa Angka!" sqref="AB87">
      <formula1>-1000000000000000000</formula1>
      <formula2>1000000000000000000</formula2>
    </dataValidation>
    <dataValidation type="decimal" showErrorMessage="1" errorTitle="Kesalahan Jenis Data" error="Data yang dimasukkan harus berupa Angka!" sqref="AC87">
      <formula1>-1000000000000000000</formula1>
      <formula2>1000000000000000000</formula2>
    </dataValidation>
    <dataValidation type="decimal" showErrorMessage="1" errorTitle="Kesalahan Jenis Data" error="Data yang dimasukkan harus berupa Angka!" sqref="AD87">
      <formula1>-1000000000000000000</formula1>
      <formula2>1000000000000000000</formula2>
    </dataValidation>
    <dataValidation type="decimal" showErrorMessage="1" errorTitle="Kesalahan Jenis Data" error="Data yang dimasukkan harus berupa Angka!" sqref="AE87">
      <formula1>-1000000000000000000</formula1>
      <formula2>1000000000000000000</formula2>
    </dataValidation>
    <dataValidation type="decimal" showErrorMessage="1" errorTitle="Kesalahan Jenis Data" error="Data yang dimasukkan harus berupa Angka!" sqref="AF87">
      <formula1>-1000000000000000000</formula1>
      <formula2>1000000000000000000</formula2>
    </dataValidation>
    <dataValidation type="decimal" showErrorMessage="1" errorTitle="Kesalahan Jenis Data" error="Data yang dimasukkan harus berupa Angka!" sqref="AG87">
      <formula1>-1000000000000000000</formula1>
      <formula2>1000000000000000000</formula2>
    </dataValidation>
    <dataValidation type="decimal" showErrorMessage="1" errorTitle="Kesalahan Jenis Data" error="Data yang dimasukkan harus berupa Angka!" sqref="AH87">
      <formula1>-1000000000000000000</formula1>
      <formula2>1000000000000000000</formula2>
    </dataValidation>
    <dataValidation type="decimal" showErrorMessage="1" errorTitle="Kesalahan Jenis Data" error="Data yang dimasukkan harus berupa Angka!" sqref="AI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ate" showErrorMessage="1" errorTitle="Kesalahan Jenis Data" error="Data yang dimasukkan harus berupa tanggal!" sqref="N88">
      <formula1>0</formula1>
      <formula2>2958465.99999999</formula2>
    </dataValidation>
    <dataValidation type="date" showErrorMessage="1" errorTitle="Kesalahan Jenis Data" error="Data yang dimasukkan harus berupa tanggal!" sqref="O88">
      <formula1>0</formula1>
      <formula2>2958465.99999999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V88">
      <formula1>-1000000000000000000</formula1>
      <formula2>1000000000000000000</formula2>
    </dataValidation>
    <dataValidation type="decimal" showErrorMessage="1" errorTitle="Kesalahan Jenis Data" error="Data yang dimasukkan harus berupa Angka!" sqref="W88">
      <formula1>-1000000000000000000</formula1>
      <formula2>1000000000000000000</formula2>
    </dataValidation>
    <dataValidation type="decimal" showErrorMessage="1" errorTitle="Kesalahan Jenis Data" error="Data yang dimasukkan harus berupa Angka!" sqref="X88">
      <formula1>-1000000000000000000</formula1>
      <formula2>1000000000000000000</formula2>
    </dataValidation>
    <dataValidation type="decimal" showErrorMessage="1" errorTitle="Kesalahan Jenis Data" error="Data yang dimasukkan harus berupa Angka!" sqref="Y88">
      <formula1>-1000000000000000000</formula1>
      <formula2>1000000000000000000</formula2>
    </dataValidation>
    <dataValidation type="decimal" showErrorMessage="1" errorTitle="Kesalahan Jenis Data" error="Data yang dimasukkan harus berupa Angka!" sqref="Z88">
      <formula1>-1000000000000000000</formula1>
      <formula2>1000000000000000000</formula2>
    </dataValidation>
    <dataValidation type="decimal" showErrorMessage="1" errorTitle="Kesalahan Jenis Data" error="Data yang dimasukkan harus berupa Angka!" sqref="AA88">
      <formula1>-1000000000000000000</formula1>
      <formula2>1000000000000000000</formula2>
    </dataValidation>
    <dataValidation type="decimal" showErrorMessage="1" errorTitle="Kesalahan Jenis Data" error="Data yang dimasukkan harus berupa Angka!" sqref="AB88">
      <formula1>-1000000000000000000</formula1>
      <formula2>1000000000000000000</formula2>
    </dataValidation>
    <dataValidation type="decimal" showErrorMessage="1" errorTitle="Kesalahan Jenis Data" error="Data yang dimasukkan harus berupa Angka!" sqref="AC88">
      <formula1>-1000000000000000000</formula1>
      <formula2>1000000000000000000</formula2>
    </dataValidation>
    <dataValidation type="decimal" showErrorMessage="1" errorTitle="Kesalahan Jenis Data" error="Data yang dimasukkan harus berupa Angka!" sqref="AD88">
      <formula1>-1000000000000000000</formula1>
      <formula2>1000000000000000000</formula2>
    </dataValidation>
    <dataValidation type="decimal" showErrorMessage="1" errorTitle="Kesalahan Jenis Data" error="Data yang dimasukkan harus berupa Angka!" sqref="AE88">
      <formula1>-1000000000000000000</formula1>
      <formula2>1000000000000000000</formula2>
    </dataValidation>
    <dataValidation type="decimal" showErrorMessage="1" errorTitle="Kesalahan Jenis Data" error="Data yang dimasukkan harus berupa Angka!" sqref="AF88">
      <formula1>-1000000000000000000</formula1>
      <formula2>1000000000000000000</formula2>
    </dataValidation>
    <dataValidation type="decimal" showErrorMessage="1" errorTitle="Kesalahan Jenis Data" error="Data yang dimasukkan harus berupa Angka!" sqref="AG88">
      <formula1>-1000000000000000000</formula1>
      <formula2>1000000000000000000</formula2>
    </dataValidation>
    <dataValidation type="decimal" showErrorMessage="1" errorTitle="Kesalahan Jenis Data" error="Data yang dimasukkan harus berupa Angka!" sqref="AH88">
      <formula1>-1000000000000000000</formula1>
      <formula2>1000000000000000000</formula2>
    </dataValidation>
    <dataValidation type="decimal" showErrorMessage="1" errorTitle="Kesalahan Jenis Data" error="Data yang dimasukkan harus berupa Angka!" sqref="AI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ate" showErrorMessage="1" errorTitle="Kesalahan Jenis Data" error="Data yang dimasukkan harus berupa tanggal!" sqref="N89">
      <formula1>0</formula1>
      <formula2>2958465.99999999</formula2>
    </dataValidation>
    <dataValidation type="date" showErrorMessage="1" errorTitle="Kesalahan Jenis Data" error="Data yang dimasukkan harus berupa tanggal!" sqref="O89">
      <formula1>0</formula1>
      <formula2>2958465.99999999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V89">
      <formula1>-1000000000000000000</formula1>
      <formula2>1000000000000000000</formula2>
    </dataValidation>
    <dataValidation type="decimal" showErrorMessage="1" errorTitle="Kesalahan Jenis Data" error="Data yang dimasukkan harus berupa Angka!" sqref="W89">
      <formula1>-1000000000000000000</formula1>
      <formula2>1000000000000000000</formula2>
    </dataValidation>
    <dataValidation type="decimal" showErrorMessage="1" errorTitle="Kesalahan Jenis Data" error="Data yang dimasukkan harus berupa Angka!" sqref="X89">
      <formula1>-1000000000000000000</formula1>
      <formula2>1000000000000000000</formula2>
    </dataValidation>
    <dataValidation type="decimal" showErrorMessage="1" errorTitle="Kesalahan Jenis Data" error="Data yang dimasukkan harus berupa Angka!" sqref="Y89">
      <formula1>-1000000000000000000</formula1>
      <formula2>1000000000000000000</formula2>
    </dataValidation>
    <dataValidation type="decimal" showErrorMessage="1" errorTitle="Kesalahan Jenis Data" error="Data yang dimasukkan harus berupa Angka!" sqref="Z89">
      <formula1>-1000000000000000000</formula1>
      <formula2>1000000000000000000</formula2>
    </dataValidation>
    <dataValidation type="decimal" showErrorMessage="1" errorTitle="Kesalahan Jenis Data" error="Data yang dimasukkan harus berupa Angka!" sqref="AA89">
      <formula1>-1000000000000000000</formula1>
      <formula2>1000000000000000000</formula2>
    </dataValidation>
    <dataValidation type="decimal" showErrorMessage="1" errorTitle="Kesalahan Jenis Data" error="Data yang dimasukkan harus berupa Angka!" sqref="AB89">
      <formula1>-1000000000000000000</formula1>
      <formula2>1000000000000000000</formula2>
    </dataValidation>
    <dataValidation type="decimal" showErrorMessage="1" errorTitle="Kesalahan Jenis Data" error="Data yang dimasukkan harus berupa Angka!" sqref="AC89">
      <formula1>-1000000000000000000</formula1>
      <formula2>1000000000000000000</formula2>
    </dataValidation>
    <dataValidation type="decimal" showErrorMessage="1" errorTitle="Kesalahan Jenis Data" error="Data yang dimasukkan harus berupa Angka!" sqref="AD89">
      <formula1>-1000000000000000000</formula1>
      <formula2>1000000000000000000</formula2>
    </dataValidation>
    <dataValidation type="decimal" showErrorMessage="1" errorTitle="Kesalahan Jenis Data" error="Data yang dimasukkan harus berupa Angka!" sqref="AE89">
      <formula1>-1000000000000000000</formula1>
      <formula2>1000000000000000000</formula2>
    </dataValidation>
    <dataValidation type="decimal" showErrorMessage="1" errorTitle="Kesalahan Jenis Data" error="Data yang dimasukkan harus berupa Angka!" sqref="AF89">
      <formula1>-1000000000000000000</formula1>
      <formula2>1000000000000000000</formula2>
    </dataValidation>
    <dataValidation type="decimal" showErrorMessage="1" errorTitle="Kesalahan Jenis Data" error="Data yang dimasukkan harus berupa Angka!" sqref="AG89">
      <formula1>-1000000000000000000</formula1>
      <formula2>1000000000000000000</formula2>
    </dataValidation>
    <dataValidation type="decimal" showErrorMessage="1" errorTitle="Kesalahan Jenis Data" error="Data yang dimasukkan harus berupa Angka!" sqref="AH89">
      <formula1>-1000000000000000000</formula1>
      <formula2>1000000000000000000</formula2>
    </dataValidation>
    <dataValidation type="decimal" showErrorMessage="1" errorTitle="Kesalahan Jenis Data" error="Data yang dimasukkan harus berupa Angka!" sqref="AI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ate" showErrorMessage="1" errorTitle="Kesalahan Jenis Data" error="Data yang dimasukkan harus berupa tanggal!" sqref="N90">
      <formula1>0</formula1>
      <formula2>2958465.99999999</formula2>
    </dataValidation>
    <dataValidation type="date" showErrorMessage="1" errorTitle="Kesalahan Jenis Data" error="Data yang dimasukkan harus berupa tanggal!" sqref="O90">
      <formula1>0</formula1>
      <formula2>2958465.99999999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V90">
      <formula1>-1000000000000000000</formula1>
      <formula2>1000000000000000000</formula2>
    </dataValidation>
    <dataValidation type="decimal" showErrorMessage="1" errorTitle="Kesalahan Jenis Data" error="Data yang dimasukkan harus berupa Angka!" sqref="W90">
      <formula1>-1000000000000000000</formula1>
      <formula2>1000000000000000000</formula2>
    </dataValidation>
    <dataValidation type="decimal" showErrorMessage="1" errorTitle="Kesalahan Jenis Data" error="Data yang dimasukkan harus berupa Angka!" sqref="X90">
      <formula1>-1000000000000000000</formula1>
      <formula2>1000000000000000000</formula2>
    </dataValidation>
    <dataValidation type="decimal" showErrorMessage="1" errorTitle="Kesalahan Jenis Data" error="Data yang dimasukkan harus berupa Angka!" sqref="Y90">
      <formula1>-1000000000000000000</formula1>
      <formula2>1000000000000000000</formula2>
    </dataValidation>
    <dataValidation type="decimal" showErrorMessage="1" errorTitle="Kesalahan Jenis Data" error="Data yang dimasukkan harus berupa Angka!" sqref="Z90">
      <formula1>-1000000000000000000</formula1>
      <formula2>1000000000000000000</formula2>
    </dataValidation>
    <dataValidation type="decimal" showErrorMessage="1" errorTitle="Kesalahan Jenis Data" error="Data yang dimasukkan harus berupa Angka!" sqref="AA90">
      <formula1>-1000000000000000000</formula1>
      <formula2>1000000000000000000</formula2>
    </dataValidation>
    <dataValidation type="decimal" showErrorMessage="1" errorTitle="Kesalahan Jenis Data" error="Data yang dimasukkan harus berupa Angka!" sqref="AB90">
      <formula1>-1000000000000000000</formula1>
      <formula2>1000000000000000000</formula2>
    </dataValidation>
    <dataValidation type="decimal" showErrorMessage="1" errorTitle="Kesalahan Jenis Data" error="Data yang dimasukkan harus berupa Angka!" sqref="AC90">
      <formula1>-1000000000000000000</formula1>
      <formula2>1000000000000000000</formula2>
    </dataValidation>
    <dataValidation type="decimal" showErrorMessage="1" errorTitle="Kesalahan Jenis Data" error="Data yang dimasukkan harus berupa Angka!" sqref="AD90">
      <formula1>-1000000000000000000</formula1>
      <formula2>1000000000000000000</formula2>
    </dataValidation>
    <dataValidation type="decimal" showErrorMessage="1" errorTitle="Kesalahan Jenis Data" error="Data yang dimasukkan harus berupa Angka!" sqref="AE90">
      <formula1>-1000000000000000000</formula1>
      <formula2>1000000000000000000</formula2>
    </dataValidation>
    <dataValidation type="decimal" showErrorMessage="1" errorTitle="Kesalahan Jenis Data" error="Data yang dimasukkan harus berupa Angka!" sqref="AF90">
      <formula1>-1000000000000000000</formula1>
      <formula2>1000000000000000000</formula2>
    </dataValidation>
    <dataValidation type="decimal" showErrorMessage="1" errorTitle="Kesalahan Jenis Data" error="Data yang dimasukkan harus berupa Angka!" sqref="AG90">
      <formula1>-1000000000000000000</formula1>
      <formula2>1000000000000000000</formula2>
    </dataValidation>
    <dataValidation type="decimal" showErrorMessage="1" errorTitle="Kesalahan Jenis Data" error="Data yang dimasukkan harus berupa Angka!" sqref="AH90">
      <formula1>-1000000000000000000</formula1>
      <formula2>1000000000000000000</formula2>
    </dataValidation>
    <dataValidation type="decimal" showErrorMessage="1" errorTitle="Kesalahan Jenis Data" error="Data yang dimasukkan harus berupa Angka!" sqref="AI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ate" showErrorMessage="1" errorTitle="Kesalahan Jenis Data" error="Data yang dimasukkan harus berupa tanggal!" sqref="N91">
      <formula1>0</formula1>
      <formula2>2958465.99999999</formula2>
    </dataValidation>
    <dataValidation type="date" showErrorMessage="1" errorTitle="Kesalahan Jenis Data" error="Data yang dimasukkan harus berupa tanggal!" sqref="O91">
      <formula1>0</formula1>
      <formula2>2958465.99999999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V91">
      <formula1>-1000000000000000000</formula1>
      <formula2>1000000000000000000</formula2>
    </dataValidation>
    <dataValidation type="decimal" showErrorMessage="1" errorTitle="Kesalahan Jenis Data" error="Data yang dimasukkan harus berupa Angka!" sqref="W91">
      <formula1>-1000000000000000000</formula1>
      <formula2>1000000000000000000</formula2>
    </dataValidation>
    <dataValidation type="decimal" showErrorMessage="1" errorTitle="Kesalahan Jenis Data" error="Data yang dimasukkan harus berupa Angka!" sqref="X91">
      <formula1>-1000000000000000000</formula1>
      <formula2>1000000000000000000</formula2>
    </dataValidation>
    <dataValidation type="decimal" showErrorMessage="1" errorTitle="Kesalahan Jenis Data" error="Data yang dimasukkan harus berupa Angka!" sqref="Y91">
      <formula1>-1000000000000000000</formula1>
      <formula2>1000000000000000000</formula2>
    </dataValidation>
    <dataValidation type="decimal" showErrorMessage="1" errorTitle="Kesalahan Jenis Data" error="Data yang dimasukkan harus berupa Angka!" sqref="Z91">
      <formula1>-1000000000000000000</formula1>
      <formula2>1000000000000000000</formula2>
    </dataValidation>
    <dataValidation type="decimal" showErrorMessage="1" errorTitle="Kesalahan Jenis Data" error="Data yang dimasukkan harus berupa Angka!" sqref="AA91">
      <formula1>-1000000000000000000</formula1>
      <formula2>1000000000000000000</formula2>
    </dataValidation>
    <dataValidation type="decimal" showErrorMessage="1" errorTitle="Kesalahan Jenis Data" error="Data yang dimasukkan harus berupa Angka!" sqref="AB91">
      <formula1>-1000000000000000000</formula1>
      <formula2>1000000000000000000</formula2>
    </dataValidation>
    <dataValidation type="decimal" showErrorMessage="1" errorTitle="Kesalahan Jenis Data" error="Data yang dimasukkan harus berupa Angka!" sqref="AC91">
      <formula1>-1000000000000000000</formula1>
      <formula2>1000000000000000000</formula2>
    </dataValidation>
    <dataValidation type="decimal" showErrorMessage="1" errorTitle="Kesalahan Jenis Data" error="Data yang dimasukkan harus berupa Angka!" sqref="AD91">
      <formula1>-1000000000000000000</formula1>
      <formula2>1000000000000000000</formula2>
    </dataValidation>
    <dataValidation type="decimal" showErrorMessage="1" errorTitle="Kesalahan Jenis Data" error="Data yang dimasukkan harus berupa Angka!" sqref="AE91">
      <formula1>-1000000000000000000</formula1>
      <formula2>1000000000000000000</formula2>
    </dataValidation>
    <dataValidation type="decimal" showErrorMessage="1" errorTitle="Kesalahan Jenis Data" error="Data yang dimasukkan harus berupa Angka!" sqref="AF91">
      <formula1>-1000000000000000000</formula1>
      <formula2>1000000000000000000</formula2>
    </dataValidation>
    <dataValidation type="decimal" showErrorMessage="1" errorTitle="Kesalahan Jenis Data" error="Data yang dimasukkan harus berupa Angka!" sqref="AG91">
      <formula1>-1000000000000000000</formula1>
      <formula2>1000000000000000000</formula2>
    </dataValidation>
    <dataValidation type="decimal" showErrorMessage="1" errorTitle="Kesalahan Jenis Data" error="Data yang dimasukkan harus berupa Angka!" sqref="AH91">
      <formula1>-1000000000000000000</formula1>
      <formula2>1000000000000000000</formula2>
    </dataValidation>
    <dataValidation type="decimal" showErrorMessage="1" errorTitle="Kesalahan Jenis Data" error="Data yang dimasukkan harus berupa Angka!" sqref="AI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ate" showErrorMessage="1" errorTitle="Kesalahan Jenis Data" error="Data yang dimasukkan harus berupa tanggal!" sqref="N92">
      <formula1>0</formula1>
      <formula2>2958465.99999999</formula2>
    </dataValidation>
    <dataValidation type="date" showErrorMessage="1" errorTitle="Kesalahan Jenis Data" error="Data yang dimasukkan harus berupa tanggal!" sqref="O92">
      <formula1>0</formula1>
      <formula2>2958465.99999999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V92">
      <formula1>-1000000000000000000</formula1>
      <formula2>1000000000000000000</formula2>
    </dataValidation>
    <dataValidation type="decimal" showErrorMessage="1" errorTitle="Kesalahan Jenis Data" error="Data yang dimasukkan harus berupa Angka!" sqref="W92">
      <formula1>-1000000000000000000</formula1>
      <formula2>1000000000000000000</formula2>
    </dataValidation>
    <dataValidation type="decimal" showErrorMessage="1" errorTitle="Kesalahan Jenis Data" error="Data yang dimasukkan harus berupa Angka!" sqref="X92">
      <formula1>-1000000000000000000</formula1>
      <formula2>1000000000000000000</formula2>
    </dataValidation>
    <dataValidation type="decimal" showErrorMessage="1" errorTitle="Kesalahan Jenis Data" error="Data yang dimasukkan harus berupa Angka!" sqref="Y92">
      <formula1>-1000000000000000000</formula1>
      <formula2>1000000000000000000</formula2>
    </dataValidation>
    <dataValidation type="decimal" showErrorMessage="1" errorTitle="Kesalahan Jenis Data" error="Data yang dimasukkan harus berupa Angka!" sqref="Z92">
      <formula1>-1000000000000000000</formula1>
      <formula2>1000000000000000000</formula2>
    </dataValidation>
    <dataValidation type="decimal" showErrorMessage="1" errorTitle="Kesalahan Jenis Data" error="Data yang dimasukkan harus berupa Angka!" sqref="AA92">
      <formula1>-1000000000000000000</formula1>
      <formula2>1000000000000000000</formula2>
    </dataValidation>
    <dataValidation type="decimal" showErrorMessage="1" errorTitle="Kesalahan Jenis Data" error="Data yang dimasukkan harus berupa Angka!" sqref="AB92">
      <formula1>-1000000000000000000</formula1>
      <formula2>1000000000000000000</formula2>
    </dataValidation>
    <dataValidation type="decimal" showErrorMessage="1" errorTitle="Kesalahan Jenis Data" error="Data yang dimasukkan harus berupa Angka!" sqref="AC92">
      <formula1>-1000000000000000000</formula1>
      <formula2>1000000000000000000</formula2>
    </dataValidation>
    <dataValidation type="decimal" showErrorMessage="1" errorTitle="Kesalahan Jenis Data" error="Data yang dimasukkan harus berupa Angka!" sqref="AD92">
      <formula1>-1000000000000000000</formula1>
      <formula2>1000000000000000000</formula2>
    </dataValidation>
    <dataValidation type="decimal" showErrorMessage="1" errorTitle="Kesalahan Jenis Data" error="Data yang dimasukkan harus berupa Angka!" sqref="AE92">
      <formula1>-1000000000000000000</formula1>
      <formula2>1000000000000000000</formula2>
    </dataValidation>
    <dataValidation type="decimal" showErrorMessage="1" errorTitle="Kesalahan Jenis Data" error="Data yang dimasukkan harus berupa Angka!" sqref="AF92">
      <formula1>-1000000000000000000</formula1>
      <formula2>1000000000000000000</formula2>
    </dataValidation>
    <dataValidation type="decimal" showErrorMessage="1" errorTitle="Kesalahan Jenis Data" error="Data yang dimasukkan harus berupa Angka!" sqref="AG92">
      <formula1>-1000000000000000000</formula1>
      <formula2>1000000000000000000</formula2>
    </dataValidation>
    <dataValidation type="decimal" showErrorMessage="1" errorTitle="Kesalahan Jenis Data" error="Data yang dimasukkan harus berupa Angka!" sqref="AH92">
      <formula1>-1000000000000000000</formula1>
      <formula2>1000000000000000000</formula2>
    </dataValidation>
    <dataValidation type="decimal" showErrorMessage="1" errorTitle="Kesalahan Jenis Data" error="Data yang dimasukkan harus berupa Angka!" sqref="AI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ate" showErrorMessage="1" errorTitle="Kesalahan Jenis Data" error="Data yang dimasukkan harus berupa tanggal!" sqref="N93">
      <formula1>0</formula1>
      <formula2>2958465.99999999</formula2>
    </dataValidation>
    <dataValidation type="date" showErrorMessage="1" errorTitle="Kesalahan Jenis Data" error="Data yang dimasukkan harus berupa tanggal!" sqref="O93">
      <formula1>0</formula1>
      <formula2>2958465.99999999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V93">
      <formula1>-1000000000000000000</formula1>
      <formula2>1000000000000000000</formula2>
    </dataValidation>
    <dataValidation type="decimal" showErrorMessage="1" errorTitle="Kesalahan Jenis Data" error="Data yang dimasukkan harus berupa Angka!" sqref="W93">
      <formula1>-1000000000000000000</formula1>
      <formula2>1000000000000000000</formula2>
    </dataValidation>
    <dataValidation type="decimal" showErrorMessage="1" errorTitle="Kesalahan Jenis Data" error="Data yang dimasukkan harus berupa Angka!" sqref="X93">
      <formula1>-1000000000000000000</formula1>
      <formula2>1000000000000000000</formula2>
    </dataValidation>
    <dataValidation type="decimal" showErrorMessage="1" errorTitle="Kesalahan Jenis Data" error="Data yang dimasukkan harus berupa Angka!" sqref="Y93">
      <formula1>-1000000000000000000</formula1>
      <formula2>1000000000000000000</formula2>
    </dataValidation>
    <dataValidation type="decimal" showErrorMessage="1" errorTitle="Kesalahan Jenis Data" error="Data yang dimasukkan harus berupa Angka!" sqref="Z93">
      <formula1>-1000000000000000000</formula1>
      <formula2>1000000000000000000</formula2>
    </dataValidation>
    <dataValidation type="decimal" showErrorMessage="1" errorTitle="Kesalahan Jenis Data" error="Data yang dimasukkan harus berupa Angka!" sqref="AA93">
      <formula1>-1000000000000000000</formula1>
      <formula2>1000000000000000000</formula2>
    </dataValidation>
    <dataValidation type="decimal" showErrorMessage="1" errorTitle="Kesalahan Jenis Data" error="Data yang dimasukkan harus berupa Angka!" sqref="AB93">
      <formula1>-1000000000000000000</formula1>
      <formula2>1000000000000000000</formula2>
    </dataValidation>
    <dataValidation type="decimal" showErrorMessage="1" errorTitle="Kesalahan Jenis Data" error="Data yang dimasukkan harus berupa Angka!" sqref="AC93">
      <formula1>-1000000000000000000</formula1>
      <formula2>1000000000000000000</formula2>
    </dataValidation>
    <dataValidation type="decimal" showErrorMessage="1" errorTitle="Kesalahan Jenis Data" error="Data yang dimasukkan harus berupa Angka!" sqref="AD93">
      <formula1>-1000000000000000000</formula1>
      <formula2>1000000000000000000</formula2>
    </dataValidation>
    <dataValidation type="decimal" showErrorMessage="1" errorTitle="Kesalahan Jenis Data" error="Data yang dimasukkan harus berupa Angka!" sqref="AE93">
      <formula1>-1000000000000000000</formula1>
      <formula2>1000000000000000000</formula2>
    </dataValidation>
    <dataValidation type="decimal" showErrorMessage="1" errorTitle="Kesalahan Jenis Data" error="Data yang dimasukkan harus berupa Angka!" sqref="AF93">
      <formula1>-1000000000000000000</formula1>
      <formula2>1000000000000000000</formula2>
    </dataValidation>
    <dataValidation type="decimal" showErrorMessage="1" errorTitle="Kesalahan Jenis Data" error="Data yang dimasukkan harus berupa Angka!" sqref="AG93">
      <formula1>-1000000000000000000</formula1>
      <formula2>1000000000000000000</formula2>
    </dataValidation>
    <dataValidation type="decimal" showErrorMessage="1" errorTitle="Kesalahan Jenis Data" error="Data yang dimasukkan harus berupa Angka!" sqref="AH93">
      <formula1>-1000000000000000000</formula1>
      <formula2>1000000000000000000</formula2>
    </dataValidation>
    <dataValidation type="decimal" showErrorMessage="1" errorTitle="Kesalahan Jenis Data" error="Data yang dimasukkan harus berupa Angka!" sqref="AI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ate" showErrorMessage="1" errorTitle="Kesalahan Jenis Data" error="Data yang dimasukkan harus berupa tanggal!" sqref="N94">
      <formula1>0</formula1>
      <formula2>2958465.99999999</formula2>
    </dataValidation>
    <dataValidation type="date" showErrorMessage="1" errorTitle="Kesalahan Jenis Data" error="Data yang dimasukkan harus berupa tanggal!" sqref="O94">
      <formula1>0</formula1>
      <formula2>2958465.99999999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V94">
      <formula1>-1000000000000000000</formula1>
      <formula2>1000000000000000000</formula2>
    </dataValidation>
    <dataValidation type="decimal" showErrorMessage="1" errorTitle="Kesalahan Jenis Data" error="Data yang dimasukkan harus berupa Angka!" sqref="W94">
      <formula1>-1000000000000000000</formula1>
      <formula2>1000000000000000000</formula2>
    </dataValidation>
    <dataValidation type="decimal" showErrorMessage="1" errorTitle="Kesalahan Jenis Data" error="Data yang dimasukkan harus berupa Angka!" sqref="X94">
      <formula1>-1000000000000000000</formula1>
      <formula2>1000000000000000000</formula2>
    </dataValidation>
    <dataValidation type="decimal" showErrorMessage="1" errorTitle="Kesalahan Jenis Data" error="Data yang dimasukkan harus berupa Angka!" sqref="Y94">
      <formula1>-1000000000000000000</formula1>
      <formula2>1000000000000000000</formula2>
    </dataValidation>
    <dataValidation type="decimal" showErrorMessage="1" errorTitle="Kesalahan Jenis Data" error="Data yang dimasukkan harus berupa Angka!" sqref="Z94">
      <formula1>-1000000000000000000</formula1>
      <formula2>1000000000000000000</formula2>
    </dataValidation>
    <dataValidation type="decimal" showErrorMessage="1" errorTitle="Kesalahan Jenis Data" error="Data yang dimasukkan harus berupa Angka!" sqref="AA94">
      <formula1>-1000000000000000000</formula1>
      <formula2>1000000000000000000</formula2>
    </dataValidation>
    <dataValidation type="decimal" showErrorMessage="1" errorTitle="Kesalahan Jenis Data" error="Data yang dimasukkan harus berupa Angka!" sqref="AB94">
      <formula1>-1000000000000000000</formula1>
      <formula2>1000000000000000000</formula2>
    </dataValidation>
    <dataValidation type="decimal" showErrorMessage="1" errorTitle="Kesalahan Jenis Data" error="Data yang dimasukkan harus berupa Angka!" sqref="AC94">
      <formula1>-1000000000000000000</formula1>
      <formula2>1000000000000000000</formula2>
    </dataValidation>
    <dataValidation type="decimal" showErrorMessage="1" errorTitle="Kesalahan Jenis Data" error="Data yang dimasukkan harus berupa Angka!" sqref="AD94">
      <formula1>-1000000000000000000</formula1>
      <formula2>1000000000000000000</formula2>
    </dataValidation>
    <dataValidation type="decimal" showErrorMessage="1" errorTitle="Kesalahan Jenis Data" error="Data yang dimasukkan harus berupa Angka!" sqref="AE94">
      <formula1>-1000000000000000000</formula1>
      <formula2>1000000000000000000</formula2>
    </dataValidation>
    <dataValidation type="decimal" showErrorMessage="1" errorTitle="Kesalahan Jenis Data" error="Data yang dimasukkan harus berupa Angka!" sqref="AF94">
      <formula1>-1000000000000000000</formula1>
      <formula2>1000000000000000000</formula2>
    </dataValidation>
    <dataValidation type="decimal" showErrorMessage="1" errorTitle="Kesalahan Jenis Data" error="Data yang dimasukkan harus berupa Angka!" sqref="AG94">
      <formula1>-1000000000000000000</formula1>
      <formula2>1000000000000000000</formula2>
    </dataValidation>
    <dataValidation type="decimal" showErrorMessage="1" errorTitle="Kesalahan Jenis Data" error="Data yang dimasukkan harus berupa Angka!" sqref="AH94">
      <formula1>-1000000000000000000</formula1>
      <formula2>1000000000000000000</formula2>
    </dataValidation>
    <dataValidation type="decimal" showErrorMessage="1" errorTitle="Kesalahan Jenis Data" error="Data yang dimasukkan harus berupa Angka!" sqref="AI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ate" showErrorMessage="1" errorTitle="Kesalahan Jenis Data" error="Data yang dimasukkan harus berupa tanggal!" sqref="N95">
      <formula1>0</formula1>
      <formula2>2958465.99999999</formula2>
    </dataValidation>
    <dataValidation type="date" showErrorMessage="1" errorTitle="Kesalahan Jenis Data" error="Data yang dimasukkan harus berupa tanggal!" sqref="O95">
      <formula1>0</formula1>
      <formula2>2958465.99999999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V95">
      <formula1>-1000000000000000000</formula1>
      <formula2>1000000000000000000</formula2>
    </dataValidation>
    <dataValidation type="decimal" showErrorMessage="1" errorTitle="Kesalahan Jenis Data" error="Data yang dimasukkan harus berupa Angka!" sqref="W95">
      <formula1>-1000000000000000000</formula1>
      <formula2>1000000000000000000</formula2>
    </dataValidation>
    <dataValidation type="decimal" showErrorMessage="1" errorTitle="Kesalahan Jenis Data" error="Data yang dimasukkan harus berupa Angka!" sqref="X95">
      <formula1>-1000000000000000000</formula1>
      <formula2>1000000000000000000</formula2>
    </dataValidation>
    <dataValidation type="decimal" showErrorMessage="1" errorTitle="Kesalahan Jenis Data" error="Data yang dimasukkan harus berupa Angka!" sqref="Y95">
      <formula1>-1000000000000000000</formula1>
      <formula2>1000000000000000000</formula2>
    </dataValidation>
    <dataValidation type="decimal" showErrorMessage="1" errorTitle="Kesalahan Jenis Data" error="Data yang dimasukkan harus berupa Angka!" sqref="Z95">
      <formula1>-1000000000000000000</formula1>
      <formula2>1000000000000000000</formula2>
    </dataValidation>
    <dataValidation type="decimal" showErrorMessage="1" errorTitle="Kesalahan Jenis Data" error="Data yang dimasukkan harus berupa Angka!" sqref="AA95">
      <formula1>-1000000000000000000</formula1>
      <formula2>1000000000000000000</formula2>
    </dataValidation>
    <dataValidation type="decimal" showErrorMessage="1" errorTitle="Kesalahan Jenis Data" error="Data yang dimasukkan harus berupa Angka!" sqref="AB95">
      <formula1>-1000000000000000000</formula1>
      <formula2>1000000000000000000</formula2>
    </dataValidation>
    <dataValidation type="decimal" showErrorMessage="1" errorTitle="Kesalahan Jenis Data" error="Data yang dimasukkan harus berupa Angka!" sqref="AC95">
      <formula1>-1000000000000000000</formula1>
      <formula2>1000000000000000000</formula2>
    </dataValidation>
    <dataValidation type="decimal" showErrorMessage="1" errorTitle="Kesalahan Jenis Data" error="Data yang dimasukkan harus berupa Angka!" sqref="AD95">
      <formula1>-1000000000000000000</formula1>
      <formula2>1000000000000000000</formula2>
    </dataValidation>
    <dataValidation type="decimal" showErrorMessage="1" errorTitle="Kesalahan Jenis Data" error="Data yang dimasukkan harus berupa Angka!" sqref="AE95">
      <formula1>-1000000000000000000</formula1>
      <formula2>1000000000000000000</formula2>
    </dataValidation>
    <dataValidation type="decimal" showErrorMessage="1" errorTitle="Kesalahan Jenis Data" error="Data yang dimasukkan harus berupa Angka!" sqref="AF95">
      <formula1>-1000000000000000000</formula1>
      <formula2>1000000000000000000</formula2>
    </dataValidation>
    <dataValidation type="decimal" showErrorMessage="1" errorTitle="Kesalahan Jenis Data" error="Data yang dimasukkan harus berupa Angka!" sqref="AG95">
      <formula1>-1000000000000000000</formula1>
      <formula2>1000000000000000000</formula2>
    </dataValidation>
    <dataValidation type="decimal" showErrorMessage="1" errorTitle="Kesalahan Jenis Data" error="Data yang dimasukkan harus berupa Angka!" sqref="AH95">
      <formula1>-1000000000000000000</formula1>
      <formula2>1000000000000000000</formula2>
    </dataValidation>
    <dataValidation type="decimal" showErrorMessage="1" errorTitle="Kesalahan Jenis Data" error="Data yang dimasukkan harus berupa Angka!" sqref="AI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ate" showErrorMessage="1" errorTitle="Kesalahan Jenis Data" error="Data yang dimasukkan harus berupa tanggal!" sqref="N96">
      <formula1>0</formula1>
      <formula2>2958465.99999999</formula2>
    </dataValidation>
    <dataValidation type="date" showErrorMessage="1" errorTitle="Kesalahan Jenis Data" error="Data yang dimasukkan harus berupa tanggal!" sqref="O96">
      <formula1>0</formula1>
      <formula2>2958465.99999999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V96">
      <formula1>-1000000000000000000</formula1>
      <formula2>1000000000000000000</formula2>
    </dataValidation>
    <dataValidation type="decimal" showErrorMessage="1" errorTitle="Kesalahan Jenis Data" error="Data yang dimasukkan harus berupa Angka!" sqref="W96">
      <formula1>-1000000000000000000</formula1>
      <formula2>1000000000000000000</formula2>
    </dataValidation>
    <dataValidation type="decimal" showErrorMessage="1" errorTitle="Kesalahan Jenis Data" error="Data yang dimasukkan harus berupa Angka!" sqref="X96">
      <formula1>-1000000000000000000</formula1>
      <formula2>1000000000000000000</formula2>
    </dataValidation>
    <dataValidation type="decimal" showErrorMessage="1" errorTitle="Kesalahan Jenis Data" error="Data yang dimasukkan harus berupa Angka!" sqref="Y96">
      <formula1>-1000000000000000000</formula1>
      <formula2>1000000000000000000</formula2>
    </dataValidation>
    <dataValidation type="decimal" showErrorMessage="1" errorTitle="Kesalahan Jenis Data" error="Data yang dimasukkan harus berupa Angka!" sqref="Z96">
      <formula1>-1000000000000000000</formula1>
      <formula2>1000000000000000000</formula2>
    </dataValidation>
    <dataValidation type="decimal" showErrorMessage="1" errorTitle="Kesalahan Jenis Data" error="Data yang dimasukkan harus berupa Angka!" sqref="AA96">
      <formula1>-1000000000000000000</formula1>
      <formula2>1000000000000000000</formula2>
    </dataValidation>
    <dataValidation type="decimal" showErrorMessage="1" errorTitle="Kesalahan Jenis Data" error="Data yang dimasukkan harus berupa Angka!" sqref="AB96">
      <formula1>-1000000000000000000</formula1>
      <formula2>1000000000000000000</formula2>
    </dataValidation>
    <dataValidation type="decimal" showErrorMessage="1" errorTitle="Kesalahan Jenis Data" error="Data yang dimasukkan harus berupa Angka!" sqref="AC96">
      <formula1>-1000000000000000000</formula1>
      <formula2>1000000000000000000</formula2>
    </dataValidation>
    <dataValidation type="decimal" showErrorMessage="1" errorTitle="Kesalahan Jenis Data" error="Data yang dimasukkan harus berupa Angka!" sqref="AD96">
      <formula1>-1000000000000000000</formula1>
      <formula2>1000000000000000000</formula2>
    </dataValidation>
    <dataValidation type="decimal" showErrorMessage="1" errorTitle="Kesalahan Jenis Data" error="Data yang dimasukkan harus berupa Angka!" sqref="AE96">
      <formula1>-1000000000000000000</formula1>
      <formula2>1000000000000000000</formula2>
    </dataValidation>
    <dataValidation type="decimal" showErrorMessage="1" errorTitle="Kesalahan Jenis Data" error="Data yang dimasukkan harus berupa Angka!" sqref="AF96">
      <formula1>-1000000000000000000</formula1>
      <formula2>1000000000000000000</formula2>
    </dataValidation>
    <dataValidation type="decimal" showErrorMessage="1" errorTitle="Kesalahan Jenis Data" error="Data yang dimasukkan harus berupa Angka!" sqref="AG96">
      <formula1>-1000000000000000000</formula1>
      <formula2>1000000000000000000</formula2>
    </dataValidation>
    <dataValidation type="decimal" showErrorMessage="1" errorTitle="Kesalahan Jenis Data" error="Data yang dimasukkan harus berupa Angka!" sqref="AH96">
      <formula1>-1000000000000000000</formula1>
      <formula2>1000000000000000000</formula2>
    </dataValidation>
    <dataValidation type="decimal" showErrorMessage="1" errorTitle="Kesalahan Jenis Data" error="Data yang dimasukkan harus berupa Angka!" sqref="AI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ate" showErrorMessage="1" errorTitle="Kesalahan Jenis Data" error="Data yang dimasukkan harus berupa tanggal!" sqref="N97">
      <formula1>0</formula1>
      <formula2>2958465.99999999</formula2>
    </dataValidation>
    <dataValidation type="date" showErrorMessage="1" errorTitle="Kesalahan Jenis Data" error="Data yang dimasukkan harus berupa tanggal!" sqref="O97">
      <formula1>0</formula1>
      <formula2>2958465.99999999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V97">
      <formula1>-1000000000000000000</formula1>
      <formula2>1000000000000000000</formula2>
    </dataValidation>
    <dataValidation type="decimal" showErrorMessage="1" errorTitle="Kesalahan Jenis Data" error="Data yang dimasukkan harus berupa Angka!" sqref="W97">
      <formula1>-1000000000000000000</formula1>
      <formula2>1000000000000000000</formula2>
    </dataValidation>
    <dataValidation type="decimal" showErrorMessage="1" errorTitle="Kesalahan Jenis Data" error="Data yang dimasukkan harus berupa Angka!" sqref="X97">
      <formula1>-1000000000000000000</formula1>
      <formula2>1000000000000000000</formula2>
    </dataValidation>
    <dataValidation type="decimal" showErrorMessage="1" errorTitle="Kesalahan Jenis Data" error="Data yang dimasukkan harus berupa Angka!" sqref="Y97">
      <formula1>-1000000000000000000</formula1>
      <formula2>1000000000000000000</formula2>
    </dataValidation>
    <dataValidation type="decimal" showErrorMessage="1" errorTitle="Kesalahan Jenis Data" error="Data yang dimasukkan harus berupa Angka!" sqref="Z97">
      <formula1>-1000000000000000000</formula1>
      <formula2>1000000000000000000</formula2>
    </dataValidation>
    <dataValidation type="decimal" showErrorMessage="1" errorTitle="Kesalahan Jenis Data" error="Data yang dimasukkan harus berupa Angka!" sqref="AA97">
      <formula1>-1000000000000000000</formula1>
      <formula2>1000000000000000000</formula2>
    </dataValidation>
    <dataValidation type="decimal" showErrorMessage="1" errorTitle="Kesalahan Jenis Data" error="Data yang dimasukkan harus berupa Angka!" sqref="AB97">
      <formula1>-1000000000000000000</formula1>
      <formula2>1000000000000000000</formula2>
    </dataValidation>
    <dataValidation type="decimal" showErrorMessage="1" errorTitle="Kesalahan Jenis Data" error="Data yang dimasukkan harus berupa Angka!" sqref="AC97">
      <formula1>-1000000000000000000</formula1>
      <formula2>1000000000000000000</formula2>
    </dataValidation>
    <dataValidation type="decimal" showErrorMessage="1" errorTitle="Kesalahan Jenis Data" error="Data yang dimasukkan harus berupa Angka!" sqref="AD97">
      <formula1>-1000000000000000000</formula1>
      <formula2>1000000000000000000</formula2>
    </dataValidation>
    <dataValidation type="decimal" showErrorMessage="1" errorTitle="Kesalahan Jenis Data" error="Data yang dimasukkan harus berupa Angka!" sqref="AE97">
      <formula1>-1000000000000000000</formula1>
      <formula2>1000000000000000000</formula2>
    </dataValidation>
    <dataValidation type="decimal" showErrorMessage="1" errorTitle="Kesalahan Jenis Data" error="Data yang dimasukkan harus berupa Angka!" sqref="AF97">
      <formula1>-1000000000000000000</formula1>
      <formula2>1000000000000000000</formula2>
    </dataValidation>
    <dataValidation type="decimal" showErrorMessage="1" errorTitle="Kesalahan Jenis Data" error="Data yang dimasukkan harus berupa Angka!" sqref="AG97">
      <formula1>-1000000000000000000</formula1>
      <formula2>1000000000000000000</formula2>
    </dataValidation>
    <dataValidation type="decimal" showErrorMessage="1" errorTitle="Kesalahan Jenis Data" error="Data yang dimasukkan harus berupa Angka!" sqref="AH97">
      <formula1>-1000000000000000000</formula1>
      <formula2>1000000000000000000</formula2>
    </dataValidation>
    <dataValidation type="decimal" showErrorMessage="1" errorTitle="Kesalahan Jenis Data" error="Data yang dimasukkan harus berupa Angka!" sqref="AI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ate" showErrorMessage="1" errorTitle="Kesalahan Jenis Data" error="Data yang dimasukkan harus berupa tanggal!" sqref="N98">
      <formula1>0</formula1>
      <formula2>2958465.99999999</formula2>
    </dataValidation>
    <dataValidation type="date" showErrorMessage="1" errorTitle="Kesalahan Jenis Data" error="Data yang dimasukkan harus berupa tanggal!" sqref="O98">
      <formula1>0</formula1>
      <formula2>2958465.99999999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V98">
      <formula1>-1000000000000000000</formula1>
      <formula2>1000000000000000000</formula2>
    </dataValidation>
    <dataValidation type="decimal" showErrorMessage="1" errorTitle="Kesalahan Jenis Data" error="Data yang dimasukkan harus berupa Angka!" sqref="W98">
      <formula1>-1000000000000000000</formula1>
      <formula2>1000000000000000000</formula2>
    </dataValidation>
    <dataValidation type="decimal" showErrorMessage="1" errorTitle="Kesalahan Jenis Data" error="Data yang dimasukkan harus berupa Angka!" sqref="X98">
      <formula1>-1000000000000000000</formula1>
      <formula2>1000000000000000000</formula2>
    </dataValidation>
    <dataValidation type="decimal" showErrorMessage="1" errorTitle="Kesalahan Jenis Data" error="Data yang dimasukkan harus berupa Angka!" sqref="Y98">
      <formula1>-1000000000000000000</formula1>
      <formula2>1000000000000000000</formula2>
    </dataValidation>
    <dataValidation type="decimal" showErrorMessage="1" errorTitle="Kesalahan Jenis Data" error="Data yang dimasukkan harus berupa Angka!" sqref="Z98">
      <formula1>-1000000000000000000</formula1>
      <formula2>1000000000000000000</formula2>
    </dataValidation>
    <dataValidation type="decimal" showErrorMessage="1" errorTitle="Kesalahan Jenis Data" error="Data yang dimasukkan harus berupa Angka!" sqref="AA98">
      <formula1>-1000000000000000000</formula1>
      <formula2>1000000000000000000</formula2>
    </dataValidation>
    <dataValidation type="decimal" showErrorMessage="1" errorTitle="Kesalahan Jenis Data" error="Data yang dimasukkan harus berupa Angka!" sqref="AB98">
      <formula1>-1000000000000000000</formula1>
      <formula2>1000000000000000000</formula2>
    </dataValidation>
    <dataValidation type="decimal" showErrorMessage="1" errorTitle="Kesalahan Jenis Data" error="Data yang dimasukkan harus berupa Angka!" sqref="AC98">
      <formula1>-1000000000000000000</formula1>
      <formula2>1000000000000000000</formula2>
    </dataValidation>
    <dataValidation type="decimal" showErrorMessage="1" errorTitle="Kesalahan Jenis Data" error="Data yang dimasukkan harus berupa Angka!" sqref="AD98">
      <formula1>-1000000000000000000</formula1>
      <formula2>1000000000000000000</formula2>
    </dataValidation>
    <dataValidation type="decimal" showErrorMessage="1" errorTitle="Kesalahan Jenis Data" error="Data yang dimasukkan harus berupa Angka!" sqref="AE98">
      <formula1>-1000000000000000000</formula1>
      <formula2>1000000000000000000</formula2>
    </dataValidation>
    <dataValidation type="decimal" showErrorMessage="1" errorTitle="Kesalahan Jenis Data" error="Data yang dimasukkan harus berupa Angka!" sqref="AF98">
      <formula1>-1000000000000000000</formula1>
      <formula2>1000000000000000000</formula2>
    </dataValidation>
    <dataValidation type="decimal" showErrorMessage="1" errorTitle="Kesalahan Jenis Data" error="Data yang dimasukkan harus berupa Angka!" sqref="AG98">
      <formula1>-1000000000000000000</formula1>
      <formula2>1000000000000000000</formula2>
    </dataValidation>
    <dataValidation type="decimal" showErrorMessage="1" errorTitle="Kesalahan Jenis Data" error="Data yang dimasukkan harus berupa Angka!" sqref="AH98">
      <formula1>-1000000000000000000</formula1>
      <formula2>1000000000000000000</formula2>
    </dataValidation>
    <dataValidation type="decimal" showErrorMessage="1" errorTitle="Kesalahan Jenis Data" error="Data yang dimasukkan harus berupa Angka!" sqref="AI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ate" showErrorMessage="1" errorTitle="Kesalahan Jenis Data" error="Data yang dimasukkan harus berupa tanggal!" sqref="N99">
      <formula1>0</formula1>
      <formula2>2958465.99999999</formula2>
    </dataValidation>
    <dataValidation type="date" showErrorMessage="1" errorTitle="Kesalahan Jenis Data" error="Data yang dimasukkan harus berupa tanggal!" sqref="O99">
      <formula1>0</formula1>
      <formula2>2958465.99999999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V99">
      <formula1>-1000000000000000000</formula1>
      <formula2>1000000000000000000</formula2>
    </dataValidation>
    <dataValidation type="decimal" showErrorMessage="1" errorTitle="Kesalahan Jenis Data" error="Data yang dimasukkan harus berupa Angka!" sqref="W99">
      <formula1>-1000000000000000000</formula1>
      <formula2>1000000000000000000</formula2>
    </dataValidation>
    <dataValidation type="decimal" showErrorMessage="1" errorTitle="Kesalahan Jenis Data" error="Data yang dimasukkan harus berupa Angka!" sqref="X99">
      <formula1>-1000000000000000000</formula1>
      <formula2>1000000000000000000</formula2>
    </dataValidation>
    <dataValidation type="decimal" showErrorMessage="1" errorTitle="Kesalahan Jenis Data" error="Data yang dimasukkan harus berupa Angka!" sqref="Y99">
      <formula1>-1000000000000000000</formula1>
      <formula2>1000000000000000000</formula2>
    </dataValidation>
    <dataValidation type="decimal" showErrorMessage="1" errorTitle="Kesalahan Jenis Data" error="Data yang dimasukkan harus berupa Angka!" sqref="Z99">
      <formula1>-1000000000000000000</formula1>
      <formula2>1000000000000000000</formula2>
    </dataValidation>
    <dataValidation type="decimal" showErrorMessage="1" errorTitle="Kesalahan Jenis Data" error="Data yang dimasukkan harus berupa Angka!" sqref="AA99">
      <formula1>-1000000000000000000</formula1>
      <formula2>1000000000000000000</formula2>
    </dataValidation>
    <dataValidation type="decimal" showErrorMessage="1" errorTitle="Kesalahan Jenis Data" error="Data yang dimasukkan harus berupa Angka!" sqref="AB99">
      <formula1>-1000000000000000000</formula1>
      <formula2>1000000000000000000</formula2>
    </dataValidation>
    <dataValidation type="decimal" showErrorMessage="1" errorTitle="Kesalahan Jenis Data" error="Data yang dimasukkan harus berupa Angka!" sqref="AC99">
      <formula1>-1000000000000000000</formula1>
      <formula2>1000000000000000000</formula2>
    </dataValidation>
    <dataValidation type="decimal" showErrorMessage="1" errorTitle="Kesalahan Jenis Data" error="Data yang dimasukkan harus berupa Angka!" sqref="AD99">
      <formula1>-1000000000000000000</formula1>
      <formula2>1000000000000000000</formula2>
    </dataValidation>
    <dataValidation type="decimal" showErrorMessage="1" errorTitle="Kesalahan Jenis Data" error="Data yang dimasukkan harus berupa Angka!" sqref="AE99">
      <formula1>-1000000000000000000</formula1>
      <formula2>1000000000000000000</formula2>
    </dataValidation>
    <dataValidation type="decimal" showErrorMessage="1" errorTitle="Kesalahan Jenis Data" error="Data yang dimasukkan harus berupa Angka!" sqref="AF99">
      <formula1>-1000000000000000000</formula1>
      <formula2>1000000000000000000</formula2>
    </dataValidation>
    <dataValidation type="decimal" showErrorMessage="1" errorTitle="Kesalahan Jenis Data" error="Data yang dimasukkan harus berupa Angka!" sqref="AG99">
      <formula1>-1000000000000000000</formula1>
      <formula2>1000000000000000000</formula2>
    </dataValidation>
    <dataValidation type="decimal" showErrorMessage="1" errorTitle="Kesalahan Jenis Data" error="Data yang dimasukkan harus berupa Angka!" sqref="AH99">
      <formula1>-1000000000000000000</formula1>
      <formula2>1000000000000000000</formula2>
    </dataValidation>
    <dataValidation type="decimal" showErrorMessage="1" errorTitle="Kesalahan Jenis Data" error="Data yang dimasukkan harus berupa Angka!" sqref="AI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ate" showErrorMessage="1" errorTitle="Kesalahan Jenis Data" error="Data yang dimasukkan harus berupa tanggal!" sqref="N100">
      <formula1>0</formula1>
      <formula2>2958465.99999999</formula2>
    </dataValidation>
    <dataValidation type="date" showErrorMessage="1" errorTitle="Kesalahan Jenis Data" error="Data yang dimasukkan harus berupa tanggal!" sqref="O100">
      <formula1>0</formula1>
      <formula2>2958465.99999999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V100">
      <formula1>-1000000000000000000</formula1>
      <formula2>1000000000000000000</formula2>
    </dataValidation>
    <dataValidation type="decimal" showErrorMessage="1" errorTitle="Kesalahan Jenis Data" error="Data yang dimasukkan harus berupa Angka!" sqref="W100">
      <formula1>-1000000000000000000</formula1>
      <formula2>1000000000000000000</formula2>
    </dataValidation>
    <dataValidation type="decimal" showErrorMessage="1" errorTitle="Kesalahan Jenis Data" error="Data yang dimasukkan harus berupa Angka!" sqref="X100">
      <formula1>-1000000000000000000</formula1>
      <formula2>1000000000000000000</formula2>
    </dataValidation>
    <dataValidation type="decimal" showErrorMessage="1" errorTitle="Kesalahan Jenis Data" error="Data yang dimasukkan harus berupa Angka!" sqref="Y100">
      <formula1>-1000000000000000000</formula1>
      <formula2>1000000000000000000</formula2>
    </dataValidation>
    <dataValidation type="decimal" showErrorMessage="1" errorTitle="Kesalahan Jenis Data" error="Data yang dimasukkan harus berupa Angka!" sqref="Z100">
      <formula1>-1000000000000000000</formula1>
      <formula2>1000000000000000000</formula2>
    </dataValidation>
    <dataValidation type="decimal" showErrorMessage="1" errorTitle="Kesalahan Jenis Data" error="Data yang dimasukkan harus berupa Angka!" sqref="AA100">
      <formula1>-1000000000000000000</formula1>
      <formula2>1000000000000000000</formula2>
    </dataValidation>
    <dataValidation type="decimal" showErrorMessage="1" errorTitle="Kesalahan Jenis Data" error="Data yang dimasukkan harus berupa Angka!" sqref="AB100">
      <formula1>-1000000000000000000</formula1>
      <formula2>1000000000000000000</formula2>
    </dataValidation>
    <dataValidation type="decimal" showErrorMessage="1" errorTitle="Kesalahan Jenis Data" error="Data yang dimasukkan harus berupa Angka!" sqref="AC100">
      <formula1>-1000000000000000000</formula1>
      <formula2>1000000000000000000</formula2>
    </dataValidation>
    <dataValidation type="decimal" showErrorMessage="1" errorTitle="Kesalahan Jenis Data" error="Data yang dimasukkan harus berupa Angka!" sqref="AD100">
      <formula1>-1000000000000000000</formula1>
      <formula2>1000000000000000000</formula2>
    </dataValidation>
    <dataValidation type="decimal" showErrorMessage="1" errorTitle="Kesalahan Jenis Data" error="Data yang dimasukkan harus berupa Angka!" sqref="AE100">
      <formula1>-1000000000000000000</formula1>
      <formula2>1000000000000000000</formula2>
    </dataValidation>
    <dataValidation type="decimal" showErrorMessage="1" errorTitle="Kesalahan Jenis Data" error="Data yang dimasukkan harus berupa Angka!" sqref="AF100">
      <formula1>-1000000000000000000</formula1>
      <formula2>1000000000000000000</formula2>
    </dataValidation>
    <dataValidation type="decimal" showErrorMessage="1" errorTitle="Kesalahan Jenis Data" error="Data yang dimasukkan harus berupa Angka!" sqref="AG100">
      <formula1>-1000000000000000000</formula1>
      <formula2>1000000000000000000</formula2>
    </dataValidation>
    <dataValidation type="decimal" showErrorMessage="1" errorTitle="Kesalahan Jenis Data" error="Data yang dimasukkan harus berupa Angka!" sqref="AH100">
      <formula1>-1000000000000000000</formula1>
      <formula2>1000000000000000000</formula2>
    </dataValidation>
    <dataValidation type="decimal" showErrorMessage="1" errorTitle="Kesalahan Jenis Data" error="Data yang dimasukkan harus berupa Angka!" sqref="AI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ate" showErrorMessage="1" errorTitle="Kesalahan Jenis Data" error="Data yang dimasukkan harus berupa tanggal!" sqref="N101">
      <formula1>0</formula1>
      <formula2>2958465.99999999</formula2>
    </dataValidation>
    <dataValidation type="date" showErrorMessage="1" errorTitle="Kesalahan Jenis Data" error="Data yang dimasukkan harus berupa tanggal!" sqref="O101">
      <formula1>0</formula1>
      <formula2>2958465.99999999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V101">
      <formula1>-1000000000000000000</formula1>
      <formula2>1000000000000000000</formula2>
    </dataValidation>
    <dataValidation type="decimal" showErrorMessage="1" errorTitle="Kesalahan Jenis Data" error="Data yang dimasukkan harus berupa Angka!" sqref="W101">
      <formula1>-1000000000000000000</formula1>
      <formula2>1000000000000000000</formula2>
    </dataValidation>
    <dataValidation type="decimal" showErrorMessage="1" errorTitle="Kesalahan Jenis Data" error="Data yang dimasukkan harus berupa Angka!" sqref="X101">
      <formula1>-1000000000000000000</formula1>
      <formula2>1000000000000000000</formula2>
    </dataValidation>
    <dataValidation type="decimal" showErrorMessage="1" errorTitle="Kesalahan Jenis Data" error="Data yang dimasukkan harus berupa Angka!" sqref="Y101">
      <formula1>-1000000000000000000</formula1>
      <formula2>1000000000000000000</formula2>
    </dataValidation>
    <dataValidation type="decimal" showErrorMessage="1" errorTitle="Kesalahan Jenis Data" error="Data yang dimasukkan harus berupa Angka!" sqref="Z101">
      <formula1>-1000000000000000000</formula1>
      <formula2>1000000000000000000</formula2>
    </dataValidation>
    <dataValidation type="decimal" showErrorMessage="1" errorTitle="Kesalahan Jenis Data" error="Data yang dimasukkan harus berupa Angka!" sqref="AA101">
      <formula1>-1000000000000000000</formula1>
      <formula2>1000000000000000000</formula2>
    </dataValidation>
    <dataValidation type="decimal" showErrorMessage="1" errorTitle="Kesalahan Jenis Data" error="Data yang dimasukkan harus berupa Angka!" sqref="AB101">
      <formula1>-1000000000000000000</formula1>
      <formula2>1000000000000000000</formula2>
    </dataValidation>
    <dataValidation type="decimal" showErrorMessage="1" errorTitle="Kesalahan Jenis Data" error="Data yang dimasukkan harus berupa Angka!" sqref="AC101">
      <formula1>-1000000000000000000</formula1>
      <formula2>1000000000000000000</formula2>
    </dataValidation>
    <dataValidation type="decimal" showErrorMessage="1" errorTitle="Kesalahan Jenis Data" error="Data yang dimasukkan harus berupa Angka!" sqref="AD101">
      <formula1>-1000000000000000000</formula1>
      <formula2>1000000000000000000</formula2>
    </dataValidation>
    <dataValidation type="decimal" showErrorMessage="1" errorTitle="Kesalahan Jenis Data" error="Data yang dimasukkan harus berupa Angka!" sqref="AE101">
      <formula1>-1000000000000000000</formula1>
      <formula2>1000000000000000000</formula2>
    </dataValidation>
    <dataValidation type="decimal" showErrorMessage="1" errorTitle="Kesalahan Jenis Data" error="Data yang dimasukkan harus berupa Angka!" sqref="AF101">
      <formula1>-1000000000000000000</formula1>
      <formula2>1000000000000000000</formula2>
    </dataValidation>
    <dataValidation type="decimal" showErrorMessage="1" errorTitle="Kesalahan Jenis Data" error="Data yang dimasukkan harus berupa Angka!" sqref="AG101">
      <formula1>-1000000000000000000</formula1>
      <formula2>1000000000000000000</formula2>
    </dataValidation>
    <dataValidation type="decimal" showErrorMessage="1" errorTitle="Kesalahan Jenis Data" error="Data yang dimasukkan harus berupa Angka!" sqref="AH101">
      <formula1>-1000000000000000000</formula1>
      <formula2>1000000000000000000</formula2>
    </dataValidation>
    <dataValidation type="decimal" showErrorMessage="1" errorTitle="Kesalahan Jenis Data" error="Data yang dimasukkan harus berupa Angka!" sqref="AI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ate" showErrorMessage="1" errorTitle="Kesalahan Jenis Data" error="Data yang dimasukkan harus berupa tanggal!" sqref="N102">
      <formula1>0</formula1>
      <formula2>2958465.99999999</formula2>
    </dataValidation>
    <dataValidation type="date" showErrorMessage="1" errorTitle="Kesalahan Jenis Data" error="Data yang dimasukkan harus berupa tanggal!" sqref="O102">
      <formula1>0</formula1>
      <formula2>2958465.99999999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V102">
      <formula1>-1000000000000000000</formula1>
      <formula2>1000000000000000000</formula2>
    </dataValidation>
    <dataValidation type="decimal" showErrorMessage="1" errorTitle="Kesalahan Jenis Data" error="Data yang dimasukkan harus berupa Angka!" sqref="W102">
      <formula1>-1000000000000000000</formula1>
      <formula2>1000000000000000000</formula2>
    </dataValidation>
    <dataValidation type="decimal" showErrorMessage="1" errorTitle="Kesalahan Jenis Data" error="Data yang dimasukkan harus berupa Angka!" sqref="X102">
      <formula1>-1000000000000000000</formula1>
      <formula2>1000000000000000000</formula2>
    </dataValidation>
    <dataValidation type="decimal" showErrorMessage="1" errorTitle="Kesalahan Jenis Data" error="Data yang dimasukkan harus berupa Angka!" sqref="Y102">
      <formula1>-1000000000000000000</formula1>
      <formula2>1000000000000000000</formula2>
    </dataValidation>
    <dataValidation type="decimal" showErrorMessage="1" errorTitle="Kesalahan Jenis Data" error="Data yang dimasukkan harus berupa Angka!" sqref="Z102">
      <formula1>-1000000000000000000</formula1>
      <formula2>1000000000000000000</formula2>
    </dataValidation>
    <dataValidation type="decimal" showErrorMessage="1" errorTitle="Kesalahan Jenis Data" error="Data yang dimasukkan harus berupa Angka!" sqref="AA102">
      <formula1>-1000000000000000000</formula1>
      <formula2>1000000000000000000</formula2>
    </dataValidation>
    <dataValidation type="decimal" showErrorMessage="1" errorTitle="Kesalahan Jenis Data" error="Data yang dimasukkan harus berupa Angka!" sqref="AB102">
      <formula1>-1000000000000000000</formula1>
      <formula2>1000000000000000000</formula2>
    </dataValidation>
    <dataValidation type="decimal" showErrorMessage="1" errorTitle="Kesalahan Jenis Data" error="Data yang dimasukkan harus berupa Angka!" sqref="AC102">
      <formula1>-1000000000000000000</formula1>
      <formula2>1000000000000000000</formula2>
    </dataValidation>
    <dataValidation type="decimal" showErrorMessage="1" errorTitle="Kesalahan Jenis Data" error="Data yang dimasukkan harus berupa Angka!" sqref="AD102">
      <formula1>-1000000000000000000</formula1>
      <formula2>1000000000000000000</formula2>
    </dataValidation>
    <dataValidation type="decimal" showErrorMessage="1" errorTitle="Kesalahan Jenis Data" error="Data yang dimasukkan harus berupa Angka!" sqref="AE102">
      <formula1>-1000000000000000000</formula1>
      <formula2>1000000000000000000</formula2>
    </dataValidation>
    <dataValidation type="decimal" showErrorMessage="1" errorTitle="Kesalahan Jenis Data" error="Data yang dimasukkan harus berupa Angka!" sqref="AF102">
      <formula1>-1000000000000000000</formula1>
      <formula2>1000000000000000000</formula2>
    </dataValidation>
    <dataValidation type="decimal" showErrorMessage="1" errorTitle="Kesalahan Jenis Data" error="Data yang dimasukkan harus berupa Angka!" sqref="AG102">
      <formula1>-1000000000000000000</formula1>
      <formula2>1000000000000000000</formula2>
    </dataValidation>
    <dataValidation type="decimal" showErrorMessage="1" errorTitle="Kesalahan Jenis Data" error="Data yang dimasukkan harus berupa Angka!" sqref="AH102">
      <formula1>-1000000000000000000</formula1>
      <formula2>1000000000000000000</formula2>
    </dataValidation>
    <dataValidation type="decimal" showErrorMessage="1" errorTitle="Kesalahan Jenis Data" error="Data yang dimasukkan harus berupa Angka!" sqref="AI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ate" showErrorMessage="1" errorTitle="Kesalahan Jenis Data" error="Data yang dimasukkan harus berupa tanggal!" sqref="N103">
      <formula1>0</formula1>
      <formula2>2958465.99999999</formula2>
    </dataValidation>
    <dataValidation type="date" showErrorMessage="1" errorTitle="Kesalahan Jenis Data" error="Data yang dimasukkan harus berupa tanggal!" sqref="O103">
      <formula1>0</formula1>
      <formula2>2958465.99999999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V103">
      <formula1>-1000000000000000000</formula1>
      <formula2>1000000000000000000</formula2>
    </dataValidation>
    <dataValidation type="decimal" showErrorMessage="1" errorTitle="Kesalahan Jenis Data" error="Data yang dimasukkan harus berupa Angka!" sqref="W103">
      <formula1>-1000000000000000000</formula1>
      <formula2>1000000000000000000</formula2>
    </dataValidation>
    <dataValidation type="decimal" showErrorMessage="1" errorTitle="Kesalahan Jenis Data" error="Data yang dimasukkan harus berupa Angka!" sqref="X103">
      <formula1>-1000000000000000000</formula1>
      <formula2>1000000000000000000</formula2>
    </dataValidation>
    <dataValidation type="decimal" showErrorMessage="1" errorTitle="Kesalahan Jenis Data" error="Data yang dimasukkan harus berupa Angka!" sqref="Y103">
      <formula1>-1000000000000000000</formula1>
      <formula2>1000000000000000000</formula2>
    </dataValidation>
    <dataValidation type="decimal" showErrorMessage="1" errorTitle="Kesalahan Jenis Data" error="Data yang dimasukkan harus berupa Angka!" sqref="Z103">
      <formula1>-1000000000000000000</formula1>
      <formula2>1000000000000000000</formula2>
    </dataValidation>
    <dataValidation type="decimal" showErrorMessage="1" errorTitle="Kesalahan Jenis Data" error="Data yang dimasukkan harus berupa Angka!" sqref="AA103">
      <formula1>-1000000000000000000</formula1>
      <formula2>1000000000000000000</formula2>
    </dataValidation>
    <dataValidation type="decimal" showErrorMessage="1" errorTitle="Kesalahan Jenis Data" error="Data yang dimasukkan harus berupa Angka!" sqref="AB103">
      <formula1>-1000000000000000000</formula1>
      <formula2>1000000000000000000</formula2>
    </dataValidation>
    <dataValidation type="decimal" showErrorMessage="1" errorTitle="Kesalahan Jenis Data" error="Data yang dimasukkan harus berupa Angka!" sqref="AC103">
      <formula1>-1000000000000000000</formula1>
      <formula2>1000000000000000000</formula2>
    </dataValidation>
    <dataValidation type="decimal" showErrorMessage="1" errorTitle="Kesalahan Jenis Data" error="Data yang dimasukkan harus berupa Angka!" sqref="AD103">
      <formula1>-1000000000000000000</formula1>
      <formula2>1000000000000000000</formula2>
    </dataValidation>
    <dataValidation type="decimal" showErrorMessage="1" errorTitle="Kesalahan Jenis Data" error="Data yang dimasukkan harus berupa Angka!" sqref="AE103">
      <formula1>-1000000000000000000</formula1>
      <formula2>1000000000000000000</formula2>
    </dataValidation>
    <dataValidation type="decimal" showErrorMessage="1" errorTitle="Kesalahan Jenis Data" error="Data yang dimasukkan harus berupa Angka!" sqref="AF103">
      <formula1>-1000000000000000000</formula1>
      <formula2>1000000000000000000</formula2>
    </dataValidation>
    <dataValidation type="decimal" showErrorMessage="1" errorTitle="Kesalahan Jenis Data" error="Data yang dimasukkan harus berupa Angka!" sqref="AG103">
      <formula1>-1000000000000000000</formula1>
      <formula2>1000000000000000000</formula2>
    </dataValidation>
    <dataValidation type="decimal" showErrorMessage="1" errorTitle="Kesalahan Jenis Data" error="Data yang dimasukkan harus berupa Angka!" sqref="AH103">
      <formula1>-1000000000000000000</formula1>
      <formula2>1000000000000000000</formula2>
    </dataValidation>
    <dataValidation type="decimal" showErrorMessage="1" errorTitle="Kesalahan Jenis Data" error="Data yang dimasukkan harus berupa Angka!" sqref="AI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ate" showErrorMessage="1" errorTitle="Kesalahan Jenis Data" error="Data yang dimasukkan harus berupa tanggal!" sqref="N104">
      <formula1>0</formula1>
      <formula2>2958465.99999999</formula2>
    </dataValidation>
    <dataValidation type="date" showErrorMessage="1" errorTitle="Kesalahan Jenis Data" error="Data yang dimasukkan harus berupa tanggal!" sqref="O104">
      <formula1>0</formula1>
      <formula2>2958465.99999999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V104">
      <formula1>-1000000000000000000</formula1>
      <formula2>1000000000000000000</formula2>
    </dataValidation>
    <dataValidation type="decimal" showErrorMessage="1" errorTitle="Kesalahan Jenis Data" error="Data yang dimasukkan harus berupa Angka!" sqref="W104">
      <formula1>-1000000000000000000</formula1>
      <formula2>1000000000000000000</formula2>
    </dataValidation>
    <dataValidation type="decimal" showErrorMessage="1" errorTitle="Kesalahan Jenis Data" error="Data yang dimasukkan harus berupa Angka!" sqref="X104">
      <formula1>-1000000000000000000</formula1>
      <formula2>1000000000000000000</formula2>
    </dataValidation>
    <dataValidation type="decimal" showErrorMessage="1" errorTitle="Kesalahan Jenis Data" error="Data yang dimasukkan harus berupa Angka!" sqref="Y104">
      <formula1>-1000000000000000000</formula1>
      <formula2>1000000000000000000</formula2>
    </dataValidation>
    <dataValidation type="decimal" showErrorMessage="1" errorTitle="Kesalahan Jenis Data" error="Data yang dimasukkan harus berupa Angka!" sqref="Z104">
      <formula1>-1000000000000000000</formula1>
      <formula2>1000000000000000000</formula2>
    </dataValidation>
    <dataValidation type="decimal" showErrorMessage="1" errorTitle="Kesalahan Jenis Data" error="Data yang dimasukkan harus berupa Angka!" sqref="AA104">
      <formula1>-1000000000000000000</formula1>
      <formula2>1000000000000000000</formula2>
    </dataValidation>
    <dataValidation type="decimal" showErrorMessage="1" errorTitle="Kesalahan Jenis Data" error="Data yang dimasukkan harus berupa Angka!" sqref="AB104">
      <formula1>-1000000000000000000</formula1>
      <formula2>1000000000000000000</formula2>
    </dataValidation>
    <dataValidation type="decimal" showErrorMessage="1" errorTitle="Kesalahan Jenis Data" error="Data yang dimasukkan harus berupa Angka!" sqref="AC104">
      <formula1>-1000000000000000000</formula1>
      <formula2>1000000000000000000</formula2>
    </dataValidation>
    <dataValidation type="decimal" showErrorMessage="1" errorTitle="Kesalahan Jenis Data" error="Data yang dimasukkan harus berupa Angka!" sqref="AD104">
      <formula1>-1000000000000000000</formula1>
      <formula2>1000000000000000000</formula2>
    </dataValidation>
    <dataValidation type="decimal" showErrorMessage="1" errorTitle="Kesalahan Jenis Data" error="Data yang dimasukkan harus berupa Angka!" sqref="AE104">
      <formula1>-1000000000000000000</formula1>
      <formula2>1000000000000000000</formula2>
    </dataValidation>
    <dataValidation type="decimal" showErrorMessage="1" errorTitle="Kesalahan Jenis Data" error="Data yang dimasukkan harus berupa Angka!" sqref="AF104">
      <formula1>-1000000000000000000</formula1>
      <formula2>1000000000000000000</formula2>
    </dataValidation>
    <dataValidation type="decimal" showErrorMessage="1" errorTitle="Kesalahan Jenis Data" error="Data yang dimasukkan harus berupa Angka!" sqref="AG104">
      <formula1>-1000000000000000000</formula1>
      <formula2>1000000000000000000</formula2>
    </dataValidation>
    <dataValidation type="decimal" showErrorMessage="1" errorTitle="Kesalahan Jenis Data" error="Data yang dimasukkan harus berupa Angka!" sqref="AH104">
      <formula1>-1000000000000000000</formula1>
      <formula2>1000000000000000000</formula2>
    </dataValidation>
    <dataValidation type="decimal" showErrorMessage="1" errorTitle="Kesalahan Jenis Data" error="Data yang dimasukkan harus berupa Angka!" sqref="AI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ate" showErrorMessage="1" errorTitle="Kesalahan Jenis Data" error="Data yang dimasukkan harus berupa tanggal!" sqref="N105">
      <formula1>0</formula1>
      <formula2>2958465.99999999</formula2>
    </dataValidation>
    <dataValidation type="date" showErrorMessage="1" errorTitle="Kesalahan Jenis Data" error="Data yang dimasukkan harus berupa tanggal!" sqref="O105">
      <formula1>0</formula1>
      <formula2>2958465.99999999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V105">
      <formula1>-1000000000000000000</formula1>
      <formula2>1000000000000000000</formula2>
    </dataValidation>
    <dataValidation type="decimal" showErrorMessage="1" errorTitle="Kesalahan Jenis Data" error="Data yang dimasukkan harus berupa Angka!" sqref="W105">
      <formula1>-1000000000000000000</formula1>
      <formula2>1000000000000000000</formula2>
    </dataValidation>
    <dataValidation type="decimal" showErrorMessage="1" errorTitle="Kesalahan Jenis Data" error="Data yang dimasukkan harus berupa Angka!" sqref="X105">
      <formula1>-1000000000000000000</formula1>
      <formula2>1000000000000000000</formula2>
    </dataValidation>
    <dataValidation type="decimal" showErrorMessage="1" errorTitle="Kesalahan Jenis Data" error="Data yang dimasukkan harus berupa Angka!" sqref="Y105">
      <formula1>-1000000000000000000</formula1>
      <formula2>1000000000000000000</formula2>
    </dataValidation>
    <dataValidation type="decimal" showErrorMessage="1" errorTitle="Kesalahan Jenis Data" error="Data yang dimasukkan harus berupa Angka!" sqref="Z105">
      <formula1>-1000000000000000000</formula1>
      <formula2>1000000000000000000</formula2>
    </dataValidation>
    <dataValidation type="decimal" showErrorMessage="1" errorTitle="Kesalahan Jenis Data" error="Data yang dimasukkan harus berupa Angka!" sqref="AA105">
      <formula1>-1000000000000000000</formula1>
      <formula2>1000000000000000000</formula2>
    </dataValidation>
    <dataValidation type="decimal" showErrorMessage="1" errorTitle="Kesalahan Jenis Data" error="Data yang dimasukkan harus berupa Angka!" sqref="AB105">
      <formula1>-1000000000000000000</formula1>
      <formula2>1000000000000000000</formula2>
    </dataValidation>
    <dataValidation type="decimal" showErrorMessage="1" errorTitle="Kesalahan Jenis Data" error="Data yang dimasukkan harus berupa Angka!" sqref="AC105">
      <formula1>-1000000000000000000</formula1>
      <formula2>1000000000000000000</formula2>
    </dataValidation>
    <dataValidation type="decimal" showErrorMessage="1" errorTitle="Kesalahan Jenis Data" error="Data yang dimasukkan harus berupa Angka!" sqref="AD105">
      <formula1>-1000000000000000000</formula1>
      <formula2>1000000000000000000</formula2>
    </dataValidation>
    <dataValidation type="decimal" showErrorMessage="1" errorTitle="Kesalahan Jenis Data" error="Data yang dimasukkan harus berupa Angka!" sqref="AE105">
      <formula1>-1000000000000000000</formula1>
      <formula2>1000000000000000000</formula2>
    </dataValidation>
    <dataValidation type="decimal" showErrorMessage="1" errorTitle="Kesalahan Jenis Data" error="Data yang dimasukkan harus berupa Angka!" sqref="AF105">
      <formula1>-1000000000000000000</formula1>
      <formula2>1000000000000000000</formula2>
    </dataValidation>
    <dataValidation type="decimal" showErrorMessage="1" errorTitle="Kesalahan Jenis Data" error="Data yang dimasukkan harus berupa Angka!" sqref="AG105">
      <formula1>-1000000000000000000</formula1>
      <formula2>1000000000000000000</formula2>
    </dataValidation>
    <dataValidation type="decimal" showErrorMessage="1" errorTitle="Kesalahan Jenis Data" error="Data yang dimasukkan harus berupa Angka!" sqref="AH105">
      <formula1>-1000000000000000000</formula1>
      <formula2>1000000000000000000</formula2>
    </dataValidation>
    <dataValidation type="decimal" showErrorMessage="1" errorTitle="Kesalahan Jenis Data" error="Data yang dimasukkan harus berupa Angka!" sqref="AI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ate" showErrorMessage="1" errorTitle="Kesalahan Jenis Data" error="Data yang dimasukkan harus berupa tanggal!" sqref="N106">
      <formula1>0</formula1>
      <formula2>2958465.99999999</formula2>
    </dataValidation>
    <dataValidation type="date" showErrorMessage="1" errorTitle="Kesalahan Jenis Data" error="Data yang dimasukkan harus berupa tanggal!" sqref="O106">
      <formula1>0</formula1>
      <formula2>2958465.99999999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V106">
      <formula1>-1000000000000000000</formula1>
      <formula2>1000000000000000000</formula2>
    </dataValidation>
    <dataValidation type="decimal" showErrorMessage="1" errorTitle="Kesalahan Jenis Data" error="Data yang dimasukkan harus berupa Angka!" sqref="W106">
      <formula1>-1000000000000000000</formula1>
      <formula2>1000000000000000000</formula2>
    </dataValidation>
    <dataValidation type="decimal" showErrorMessage="1" errorTitle="Kesalahan Jenis Data" error="Data yang dimasukkan harus berupa Angka!" sqref="X106">
      <formula1>-1000000000000000000</formula1>
      <formula2>1000000000000000000</formula2>
    </dataValidation>
    <dataValidation type="decimal" showErrorMessage="1" errorTitle="Kesalahan Jenis Data" error="Data yang dimasukkan harus berupa Angka!" sqref="Y106">
      <formula1>-1000000000000000000</formula1>
      <formula2>1000000000000000000</formula2>
    </dataValidation>
    <dataValidation type="decimal" showErrorMessage="1" errorTitle="Kesalahan Jenis Data" error="Data yang dimasukkan harus berupa Angka!" sqref="Z106">
      <formula1>-1000000000000000000</formula1>
      <formula2>1000000000000000000</formula2>
    </dataValidation>
    <dataValidation type="decimal" showErrorMessage="1" errorTitle="Kesalahan Jenis Data" error="Data yang dimasukkan harus berupa Angka!" sqref="AA106">
      <formula1>-1000000000000000000</formula1>
      <formula2>1000000000000000000</formula2>
    </dataValidation>
    <dataValidation type="decimal" showErrorMessage="1" errorTitle="Kesalahan Jenis Data" error="Data yang dimasukkan harus berupa Angka!" sqref="AB106">
      <formula1>-1000000000000000000</formula1>
      <formula2>1000000000000000000</formula2>
    </dataValidation>
    <dataValidation type="decimal" showErrorMessage="1" errorTitle="Kesalahan Jenis Data" error="Data yang dimasukkan harus berupa Angka!" sqref="AC106">
      <formula1>-1000000000000000000</formula1>
      <formula2>1000000000000000000</formula2>
    </dataValidation>
    <dataValidation type="decimal" showErrorMessage="1" errorTitle="Kesalahan Jenis Data" error="Data yang dimasukkan harus berupa Angka!" sqref="AD106">
      <formula1>-1000000000000000000</formula1>
      <formula2>1000000000000000000</formula2>
    </dataValidation>
    <dataValidation type="decimal" showErrorMessage="1" errorTitle="Kesalahan Jenis Data" error="Data yang dimasukkan harus berupa Angka!" sqref="AE106">
      <formula1>-1000000000000000000</formula1>
      <formula2>1000000000000000000</formula2>
    </dataValidation>
    <dataValidation type="decimal" showErrorMessage="1" errorTitle="Kesalahan Jenis Data" error="Data yang dimasukkan harus berupa Angka!" sqref="AF106">
      <formula1>-1000000000000000000</formula1>
      <formula2>1000000000000000000</formula2>
    </dataValidation>
    <dataValidation type="decimal" showErrorMessage="1" errorTitle="Kesalahan Jenis Data" error="Data yang dimasukkan harus berupa Angka!" sqref="AG106">
      <formula1>-1000000000000000000</formula1>
      <formula2>1000000000000000000</formula2>
    </dataValidation>
    <dataValidation type="decimal" showErrorMessage="1" errorTitle="Kesalahan Jenis Data" error="Data yang dimasukkan harus berupa Angka!" sqref="AH106">
      <formula1>-1000000000000000000</formula1>
      <formula2>1000000000000000000</formula2>
    </dataValidation>
    <dataValidation type="decimal" showErrorMessage="1" errorTitle="Kesalahan Jenis Data" error="Data yang dimasukkan harus berupa Angka!" sqref="AI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ate" showErrorMessage="1" errorTitle="Kesalahan Jenis Data" error="Data yang dimasukkan harus berupa tanggal!" sqref="N107">
      <formula1>0</formula1>
      <formula2>2958465.99999999</formula2>
    </dataValidation>
    <dataValidation type="date" showErrorMessage="1" errorTitle="Kesalahan Jenis Data" error="Data yang dimasukkan harus berupa tanggal!" sqref="O107">
      <formula1>0</formula1>
      <formula2>2958465.99999999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V107">
      <formula1>-1000000000000000000</formula1>
      <formula2>1000000000000000000</formula2>
    </dataValidation>
    <dataValidation type="decimal" showErrorMessage="1" errorTitle="Kesalahan Jenis Data" error="Data yang dimasukkan harus berupa Angka!" sqref="W107">
      <formula1>-1000000000000000000</formula1>
      <formula2>1000000000000000000</formula2>
    </dataValidation>
    <dataValidation type="decimal" showErrorMessage="1" errorTitle="Kesalahan Jenis Data" error="Data yang dimasukkan harus berupa Angka!" sqref="X107">
      <formula1>-1000000000000000000</formula1>
      <formula2>1000000000000000000</formula2>
    </dataValidation>
    <dataValidation type="decimal" showErrorMessage="1" errorTitle="Kesalahan Jenis Data" error="Data yang dimasukkan harus berupa Angka!" sqref="Y107">
      <formula1>-1000000000000000000</formula1>
      <formula2>1000000000000000000</formula2>
    </dataValidation>
    <dataValidation type="decimal" showErrorMessage="1" errorTitle="Kesalahan Jenis Data" error="Data yang dimasukkan harus berupa Angka!" sqref="Z107">
      <formula1>-1000000000000000000</formula1>
      <formula2>1000000000000000000</formula2>
    </dataValidation>
    <dataValidation type="decimal" showErrorMessage="1" errorTitle="Kesalahan Jenis Data" error="Data yang dimasukkan harus berupa Angka!" sqref="AA107">
      <formula1>-1000000000000000000</formula1>
      <formula2>1000000000000000000</formula2>
    </dataValidation>
    <dataValidation type="decimal" showErrorMessage="1" errorTitle="Kesalahan Jenis Data" error="Data yang dimasukkan harus berupa Angka!" sqref="AB107">
      <formula1>-1000000000000000000</formula1>
      <formula2>1000000000000000000</formula2>
    </dataValidation>
    <dataValidation type="decimal" showErrorMessage="1" errorTitle="Kesalahan Jenis Data" error="Data yang dimasukkan harus berupa Angka!" sqref="AC107">
      <formula1>-1000000000000000000</formula1>
      <formula2>1000000000000000000</formula2>
    </dataValidation>
    <dataValidation type="decimal" showErrorMessage="1" errorTitle="Kesalahan Jenis Data" error="Data yang dimasukkan harus berupa Angka!" sqref="AD107">
      <formula1>-1000000000000000000</formula1>
      <formula2>1000000000000000000</formula2>
    </dataValidation>
    <dataValidation type="decimal" showErrorMessage="1" errorTitle="Kesalahan Jenis Data" error="Data yang dimasukkan harus berupa Angka!" sqref="AE107">
      <formula1>-1000000000000000000</formula1>
      <formula2>1000000000000000000</formula2>
    </dataValidation>
    <dataValidation type="decimal" showErrorMessage="1" errorTitle="Kesalahan Jenis Data" error="Data yang dimasukkan harus berupa Angka!" sqref="AF107">
      <formula1>-1000000000000000000</formula1>
      <formula2>1000000000000000000</formula2>
    </dataValidation>
    <dataValidation type="decimal" showErrorMessage="1" errorTitle="Kesalahan Jenis Data" error="Data yang dimasukkan harus berupa Angka!" sqref="AG107">
      <formula1>-1000000000000000000</formula1>
      <formula2>1000000000000000000</formula2>
    </dataValidation>
    <dataValidation type="decimal" showErrorMessage="1" errorTitle="Kesalahan Jenis Data" error="Data yang dimasukkan harus berupa Angka!" sqref="AH107">
      <formula1>-1000000000000000000</formula1>
      <formula2>1000000000000000000</formula2>
    </dataValidation>
    <dataValidation type="decimal" showErrorMessage="1" errorTitle="Kesalahan Jenis Data" error="Data yang dimasukkan harus berupa Angka!" sqref="AI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ate" showErrorMessage="1" errorTitle="Kesalahan Jenis Data" error="Data yang dimasukkan harus berupa tanggal!" sqref="N108">
      <formula1>0</formula1>
      <formula2>2958465.99999999</formula2>
    </dataValidation>
    <dataValidation type="date" showErrorMessage="1" errorTitle="Kesalahan Jenis Data" error="Data yang dimasukkan harus berupa tanggal!" sqref="O108">
      <formula1>0</formula1>
      <formula2>2958465.99999999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V108">
      <formula1>-1000000000000000000</formula1>
      <formula2>1000000000000000000</formula2>
    </dataValidation>
    <dataValidation type="decimal" showErrorMessage="1" errorTitle="Kesalahan Jenis Data" error="Data yang dimasukkan harus berupa Angka!" sqref="W108">
      <formula1>-1000000000000000000</formula1>
      <formula2>1000000000000000000</formula2>
    </dataValidation>
    <dataValidation type="decimal" showErrorMessage="1" errorTitle="Kesalahan Jenis Data" error="Data yang dimasukkan harus berupa Angka!" sqref="X108">
      <formula1>-1000000000000000000</formula1>
      <formula2>1000000000000000000</formula2>
    </dataValidation>
    <dataValidation type="decimal" showErrorMessage="1" errorTitle="Kesalahan Jenis Data" error="Data yang dimasukkan harus berupa Angka!" sqref="Y108">
      <formula1>-1000000000000000000</formula1>
      <formula2>1000000000000000000</formula2>
    </dataValidation>
    <dataValidation type="decimal" showErrorMessage="1" errorTitle="Kesalahan Jenis Data" error="Data yang dimasukkan harus berupa Angka!" sqref="Z108">
      <formula1>-1000000000000000000</formula1>
      <formula2>1000000000000000000</formula2>
    </dataValidation>
    <dataValidation type="decimal" showErrorMessage="1" errorTitle="Kesalahan Jenis Data" error="Data yang dimasukkan harus berupa Angka!" sqref="AA108">
      <formula1>-1000000000000000000</formula1>
      <formula2>1000000000000000000</formula2>
    </dataValidation>
    <dataValidation type="decimal" showErrorMessage="1" errorTitle="Kesalahan Jenis Data" error="Data yang dimasukkan harus berupa Angka!" sqref="AB108">
      <formula1>-1000000000000000000</formula1>
      <formula2>1000000000000000000</formula2>
    </dataValidation>
    <dataValidation type="decimal" showErrorMessage="1" errorTitle="Kesalahan Jenis Data" error="Data yang dimasukkan harus berupa Angka!" sqref="AC108">
      <formula1>-1000000000000000000</formula1>
      <formula2>1000000000000000000</formula2>
    </dataValidation>
    <dataValidation type="decimal" showErrorMessage="1" errorTitle="Kesalahan Jenis Data" error="Data yang dimasukkan harus berupa Angka!" sqref="AD108">
      <formula1>-1000000000000000000</formula1>
      <formula2>1000000000000000000</formula2>
    </dataValidation>
    <dataValidation type="decimal" showErrorMessage="1" errorTitle="Kesalahan Jenis Data" error="Data yang dimasukkan harus berupa Angka!" sqref="AE108">
      <formula1>-1000000000000000000</formula1>
      <formula2>1000000000000000000</formula2>
    </dataValidation>
    <dataValidation type="decimal" showErrorMessage="1" errorTitle="Kesalahan Jenis Data" error="Data yang dimasukkan harus berupa Angka!" sqref="AF108">
      <formula1>-1000000000000000000</formula1>
      <formula2>1000000000000000000</formula2>
    </dataValidation>
    <dataValidation type="decimal" showErrorMessage="1" errorTitle="Kesalahan Jenis Data" error="Data yang dimasukkan harus berupa Angka!" sqref="AG108">
      <formula1>-1000000000000000000</formula1>
      <formula2>1000000000000000000</formula2>
    </dataValidation>
    <dataValidation type="decimal" showErrorMessage="1" errorTitle="Kesalahan Jenis Data" error="Data yang dimasukkan harus berupa Angka!" sqref="AH108">
      <formula1>-1000000000000000000</formula1>
      <formula2>1000000000000000000</formula2>
    </dataValidation>
    <dataValidation type="decimal" showErrorMessage="1" errorTitle="Kesalahan Jenis Data" error="Data yang dimasukkan harus berupa Angka!" sqref="AI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ate" showErrorMessage="1" errorTitle="Kesalahan Jenis Data" error="Data yang dimasukkan harus berupa tanggal!" sqref="N109">
      <formula1>0</formula1>
      <formula2>2958465.99999999</formula2>
    </dataValidation>
    <dataValidation type="date" showErrorMessage="1" errorTitle="Kesalahan Jenis Data" error="Data yang dimasukkan harus berupa tanggal!" sqref="O109">
      <formula1>0</formula1>
      <formula2>2958465.99999999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V109">
      <formula1>-1000000000000000000</formula1>
      <formula2>1000000000000000000</formula2>
    </dataValidation>
    <dataValidation type="decimal" showErrorMessage="1" errorTitle="Kesalahan Jenis Data" error="Data yang dimasukkan harus berupa Angka!" sqref="W109">
      <formula1>-1000000000000000000</formula1>
      <formula2>1000000000000000000</formula2>
    </dataValidation>
    <dataValidation type="decimal" showErrorMessage="1" errorTitle="Kesalahan Jenis Data" error="Data yang dimasukkan harus berupa Angka!" sqref="X109">
      <formula1>-1000000000000000000</formula1>
      <formula2>1000000000000000000</formula2>
    </dataValidation>
    <dataValidation type="decimal" showErrorMessage="1" errorTitle="Kesalahan Jenis Data" error="Data yang dimasukkan harus berupa Angka!" sqref="Y109">
      <formula1>-1000000000000000000</formula1>
      <formula2>1000000000000000000</formula2>
    </dataValidation>
    <dataValidation type="decimal" showErrorMessage="1" errorTitle="Kesalahan Jenis Data" error="Data yang dimasukkan harus berupa Angka!" sqref="Z109">
      <formula1>-1000000000000000000</formula1>
      <formula2>1000000000000000000</formula2>
    </dataValidation>
    <dataValidation type="decimal" showErrorMessage="1" errorTitle="Kesalahan Jenis Data" error="Data yang dimasukkan harus berupa Angka!" sqref="AA109">
      <formula1>-1000000000000000000</formula1>
      <formula2>1000000000000000000</formula2>
    </dataValidation>
    <dataValidation type="decimal" showErrorMessage="1" errorTitle="Kesalahan Jenis Data" error="Data yang dimasukkan harus berupa Angka!" sqref="AB109">
      <formula1>-1000000000000000000</formula1>
      <formula2>1000000000000000000</formula2>
    </dataValidation>
    <dataValidation type="decimal" showErrorMessage="1" errorTitle="Kesalahan Jenis Data" error="Data yang dimasukkan harus berupa Angka!" sqref="AC109">
      <formula1>-1000000000000000000</formula1>
      <formula2>1000000000000000000</formula2>
    </dataValidation>
    <dataValidation type="decimal" showErrorMessage="1" errorTitle="Kesalahan Jenis Data" error="Data yang dimasukkan harus berupa Angka!" sqref="AD109">
      <formula1>-1000000000000000000</formula1>
      <formula2>1000000000000000000</formula2>
    </dataValidation>
    <dataValidation type="decimal" showErrorMessage="1" errorTitle="Kesalahan Jenis Data" error="Data yang dimasukkan harus berupa Angka!" sqref="AE109">
      <formula1>-1000000000000000000</formula1>
      <formula2>1000000000000000000</formula2>
    </dataValidation>
    <dataValidation type="decimal" showErrorMessage="1" errorTitle="Kesalahan Jenis Data" error="Data yang dimasukkan harus berupa Angka!" sqref="AF109">
      <formula1>-1000000000000000000</formula1>
      <formula2>1000000000000000000</formula2>
    </dataValidation>
    <dataValidation type="decimal" showErrorMessage="1" errorTitle="Kesalahan Jenis Data" error="Data yang dimasukkan harus berupa Angka!" sqref="AG109">
      <formula1>-1000000000000000000</formula1>
      <formula2>1000000000000000000</formula2>
    </dataValidation>
    <dataValidation type="decimal" showErrorMessage="1" errorTitle="Kesalahan Jenis Data" error="Data yang dimasukkan harus berupa Angka!" sqref="AH109">
      <formula1>-1000000000000000000</formula1>
      <formula2>1000000000000000000</formula2>
    </dataValidation>
    <dataValidation type="decimal" showErrorMessage="1" errorTitle="Kesalahan Jenis Data" error="Data yang dimasukkan harus berupa Angka!" sqref="AI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ate" showErrorMessage="1" errorTitle="Kesalahan Jenis Data" error="Data yang dimasukkan harus berupa tanggal!" sqref="N110">
      <formula1>0</formula1>
      <formula2>2958465.99999999</formula2>
    </dataValidation>
    <dataValidation type="date" showErrorMessage="1" errorTitle="Kesalahan Jenis Data" error="Data yang dimasukkan harus berupa tanggal!" sqref="O110">
      <formula1>0</formula1>
      <formula2>2958465.99999999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V110">
      <formula1>-1000000000000000000</formula1>
      <formula2>1000000000000000000</formula2>
    </dataValidation>
    <dataValidation type="decimal" showErrorMessage="1" errorTitle="Kesalahan Jenis Data" error="Data yang dimasukkan harus berupa Angka!" sqref="W110">
      <formula1>-1000000000000000000</formula1>
      <formula2>1000000000000000000</formula2>
    </dataValidation>
    <dataValidation type="decimal" showErrorMessage="1" errorTitle="Kesalahan Jenis Data" error="Data yang dimasukkan harus berupa Angka!" sqref="X110">
      <formula1>-1000000000000000000</formula1>
      <formula2>1000000000000000000</formula2>
    </dataValidation>
    <dataValidation type="decimal" showErrorMessage="1" errorTitle="Kesalahan Jenis Data" error="Data yang dimasukkan harus berupa Angka!" sqref="Y110">
      <formula1>-1000000000000000000</formula1>
      <formula2>1000000000000000000</formula2>
    </dataValidation>
    <dataValidation type="decimal" showErrorMessage="1" errorTitle="Kesalahan Jenis Data" error="Data yang dimasukkan harus berupa Angka!" sqref="Z110">
      <formula1>-1000000000000000000</formula1>
      <formula2>1000000000000000000</formula2>
    </dataValidation>
    <dataValidation type="decimal" showErrorMessage="1" errorTitle="Kesalahan Jenis Data" error="Data yang dimasukkan harus berupa Angka!" sqref="AA110">
      <formula1>-1000000000000000000</formula1>
      <formula2>1000000000000000000</formula2>
    </dataValidation>
    <dataValidation type="decimal" showErrorMessage="1" errorTitle="Kesalahan Jenis Data" error="Data yang dimasukkan harus berupa Angka!" sqref="AB110">
      <formula1>-1000000000000000000</formula1>
      <formula2>1000000000000000000</formula2>
    </dataValidation>
    <dataValidation type="decimal" showErrorMessage="1" errorTitle="Kesalahan Jenis Data" error="Data yang dimasukkan harus berupa Angka!" sqref="AC110">
      <formula1>-1000000000000000000</formula1>
      <formula2>1000000000000000000</formula2>
    </dataValidation>
    <dataValidation type="decimal" showErrorMessage="1" errorTitle="Kesalahan Jenis Data" error="Data yang dimasukkan harus berupa Angka!" sqref="AD110">
      <formula1>-1000000000000000000</formula1>
      <formula2>1000000000000000000</formula2>
    </dataValidation>
    <dataValidation type="decimal" showErrorMessage="1" errorTitle="Kesalahan Jenis Data" error="Data yang dimasukkan harus berupa Angka!" sqref="AE110">
      <formula1>-1000000000000000000</formula1>
      <formula2>1000000000000000000</formula2>
    </dataValidation>
    <dataValidation type="decimal" showErrorMessage="1" errorTitle="Kesalahan Jenis Data" error="Data yang dimasukkan harus berupa Angka!" sqref="AF110">
      <formula1>-1000000000000000000</formula1>
      <formula2>1000000000000000000</formula2>
    </dataValidation>
    <dataValidation type="decimal" showErrorMessage="1" errorTitle="Kesalahan Jenis Data" error="Data yang dimasukkan harus berupa Angka!" sqref="AG110">
      <formula1>-1000000000000000000</formula1>
      <formula2>1000000000000000000</formula2>
    </dataValidation>
    <dataValidation type="decimal" showErrorMessage="1" errorTitle="Kesalahan Jenis Data" error="Data yang dimasukkan harus berupa Angka!" sqref="AH110">
      <formula1>-1000000000000000000</formula1>
      <formula2>1000000000000000000</formula2>
    </dataValidation>
    <dataValidation type="decimal" showErrorMessage="1" errorTitle="Kesalahan Jenis Data" error="Data yang dimasukkan harus berupa Angka!" sqref="AI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ate" showErrorMessage="1" errorTitle="Kesalahan Jenis Data" error="Data yang dimasukkan harus berupa tanggal!" sqref="N111">
      <formula1>0</formula1>
      <formula2>2958465.99999999</formula2>
    </dataValidation>
    <dataValidation type="date" showErrorMessage="1" errorTitle="Kesalahan Jenis Data" error="Data yang dimasukkan harus berupa tanggal!" sqref="O111">
      <formula1>0</formula1>
      <formula2>2958465.99999999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V111">
      <formula1>-1000000000000000000</formula1>
      <formula2>1000000000000000000</formula2>
    </dataValidation>
    <dataValidation type="decimal" showErrorMessage="1" errorTitle="Kesalahan Jenis Data" error="Data yang dimasukkan harus berupa Angka!" sqref="W111">
      <formula1>-1000000000000000000</formula1>
      <formula2>1000000000000000000</formula2>
    </dataValidation>
    <dataValidation type="decimal" showErrorMessage="1" errorTitle="Kesalahan Jenis Data" error="Data yang dimasukkan harus berupa Angka!" sqref="X111">
      <formula1>-1000000000000000000</formula1>
      <formula2>1000000000000000000</formula2>
    </dataValidation>
    <dataValidation type="decimal" showErrorMessage="1" errorTitle="Kesalahan Jenis Data" error="Data yang dimasukkan harus berupa Angka!" sqref="Y111">
      <formula1>-1000000000000000000</formula1>
      <formula2>1000000000000000000</formula2>
    </dataValidation>
    <dataValidation type="decimal" showErrorMessage="1" errorTitle="Kesalahan Jenis Data" error="Data yang dimasukkan harus berupa Angka!" sqref="Z111">
      <formula1>-1000000000000000000</formula1>
      <formula2>1000000000000000000</formula2>
    </dataValidation>
    <dataValidation type="decimal" showErrorMessage="1" errorTitle="Kesalahan Jenis Data" error="Data yang dimasukkan harus berupa Angka!" sqref="AA111">
      <formula1>-1000000000000000000</formula1>
      <formula2>1000000000000000000</formula2>
    </dataValidation>
    <dataValidation type="decimal" showErrorMessage="1" errorTitle="Kesalahan Jenis Data" error="Data yang dimasukkan harus berupa Angka!" sqref="AB111">
      <formula1>-1000000000000000000</formula1>
      <formula2>1000000000000000000</formula2>
    </dataValidation>
    <dataValidation type="decimal" showErrorMessage="1" errorTitle="Kesalahan Jenis Data" error="Data yang dimasukkan harus berupa Angka!" sqref="AC111">
      <formula1>-1000000000000000000</formula1>
      <formula2>1000000000000000000</formula2>
    </dataValidation>
    <dataValidation type="decimal" showErrorMessage="1" errorTitle="Kesalahan Jenis Data" error="Data yang dimasukkan harus berupa Angka!" sqref="AD111">
      <formula1>-1000000000000000000</formula1>
      <formula2>1000000000000000000</formula2>
    </dataValidation>
    <dataValidation type="decimal" showErrorMessage="1" errorTitle="Kesalahan Jenis Data" error="Data yang dimasukkan harus berupa Angka!" sqref="AE111">
      <formula1>-1000000000000000000</formula1>
      <formula2>1000000000000000000</formula2>
    </dataValidation>
    <dataValidation type="decimal" showErrorMessage="1" errorTitle="Kesalahan Jenis Data" error="Data yang dimasukkan harus berupa Angka!" sqref="AF111">
      <formula1>-1000000000000000000</formula1>
      <formula2>1000000000000000000</formula2>
    </dataValidation>
    <dataValidation type="decimal" showErrorMessage="1" errorTitle="Kesalahan Jenis Data" error="Data yang dimasukkan harus berupa Angka!" sqref="AG111">
      <formula1>-1000000000000000000</formula1>
      <formula2>1000000000000000000</formula2>
    </dataValidation>
    <dataValidation type="decimal" showErrorMessage="1" errorTitle="Kesalahan Jenis Data" error="Data yang dimasukkan harus berupa Angka!" sqref="AH111">
      <formula1>-1000000000000000000</formula1>
      <formula2>1000000000000000000</formula2>
    </dataValidation>
    <dataValidation type="decimal" showErrorMessage="1" errorTitle="Kesalahan Jenis Data" error="Data yang dimasukkan harus berupa Angka!" sqref="AI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ate" showErrorMessage="1" errorTitle="Kesalahan Jenis Data" error="Data yang dimasukkan harus berupa tanggal!" sqref="N112">
      <formula1>0</formula1>
      <formula2>2958465.99999999</formula2>
    </dataValidation>
    <dataValidation type="date" showErrorMessage="1" errorTitle="Kesalahan Jenis Data" error="Data yang dimasukkan harus berupa tanggal!" sqref="O112">
      <formula1>0</formula1>
      <formula2>2958465.99999999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V112">
      <formula1>-1000000000000000000</formula1>
      <formula2>1000000000000000000</formula2>
    </dataValidation>
    <dataValidation type="decimal" showErrorMessage="1" errorTitle="Kesalahan Jenis Data" error="Data yang dimasukkan harus berupa Angka!" sqref="W112">
      <formula1>-1000000000000000000</formula1>
      <formula2>1000000000000000000</formula2>
    </dataValidation>
    <dataValidation type="decimal" showErrorMessage="1" errorTitle="Kesalahan Jenis Data" error="Data yang dimasukkan harus berupa Angka!" sqref="X112">
      <formula1>-1000000000000000000</formula1>
      <formula2>1000000000000000000</formula2>
    </dataValidation>
    <dataValidation type="decimal" showErrorMessage="1" errorTitle="Kesalahan Jenis Data" error="Data yang dimasukkan harus berupa Angka!" sqref="Y112">
      <formula1>-1000000000000000000</formula1>
      <formula2>1000000000000000000</formula2>
    </dataValidation>
    <dataValidation type="decimal" showErrorMessage="1" errorTitle="Kesalahan Jenis Data" error="Data yang dimasukkan harus berupa Angka!" sqref="Z112">
      <formula1>-1000000000000000000</formula1>
      <formula2>1000000000000000000</formula2>
    </dataValidation>
    <dataValidation type="decimal" showErrorMessage="1" errorTitle="Kesalahan Jenis Data" error="Data yang dimasukkan harus berupa Angka!" sqref="AA112">
      <formula1>-1000000000000000000</formula1>
      <formula2>1000000000000000000</formula2>
    </dataValidation>
    <dataValidation type="decimal" showErrorMessage="1" errorTitle="Kesalahan Jenis Data" error="Data yang dimasukkan harus berupa Angka!" sqref="AB112">
      <formula1>-1000000000000000000</formula1>
      <formula2>1000000000000000000</formula2>
    </dataValidation>
    <dataValidation type="decimal" showErrorMessage="1" errorTitle="Kesalahan Jenis Data" error="Data yang dimasukkan harus berupa Angka!" sqref="AC112">
      <formula1>-1000000000000000000</formula1>
      <formula2>1000000000000000000</formula2>
    </dataValidation>
    <dataValidation type="decimal" showErrorMessage="1" errorTitle="Kesalahan Jenis Data" error="Data yang dimasukkan harus berupa Angka!" sqref="AD112">
      <formula1>-1000000000000000000</formula1>
      <formula2>1000000000000000000</formula2>
    </dataValidation>
    <dataValidation type="decimal" showErrorMessage="1" errorTitle="Kesalahan Jenis Data" error="Data yang dimasukkan harus berupa Angka!" sqref="AE112">
      <formula1>-1000000000000000000</formula1>
      <formula2>1000000000000000000</formula2>
    </dataValidation>
    <dataValidation type="decimal" showErrorMessage="1" errorTitle="Kesalahan Jenis Data" error="Data yang dimasukkan harus berupa Angka!" sqref="AF112">
      <formula1>-1000000000000000000</formula1>
      <formula2>1000000000000000000</formula2>
    </dataValidation>
    <dataValidation type="decimal" showErrorMessage="1" errorTitle="Kesalahan Jenis Data" error="Data yang dimasukkan harus berupa Angka!" sqref="AG112">
      <formula1>-1000000000000000000</formula1>
      <formula2>1000000000000000000</formula2>
    </dataValidation>
    <dataValidation type="decimal" showErrorMessage="1" errorTitle="Kesalahan Jenis Data" error="Data yang dimasukkan harus berupa Angka!" sqref="AH112">
      <formula1>-1000000000000000000</formula1>
      <formula2>1000000000000000000</formula2>
    </dataValidation>
    <dataValidation type="decimal" showErrorMessage="1" errorTitle="Kesalahan Jenis Data" error="Data yang dimasukkan harus berupa Angka!" sqref="AI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ate" showErrorMessage="1" errorTitle="Kesalahan Jenis Data" error="Data yang dimasukkan harus berupa tanggal!" sqref="N113">
      <formula1>0</formula1>
      <formula2>2958465.99999999</formula2>
    </dataValidation>
    <dataValidation type="date" showErrorMessage="1" errorTitle="Kesalahan Jenis Data" error="Data yang dimasukkan harus berupa tanggal!" sqref="O113">
      <formula1>0</formula1>
      <formula2>2958465.99999999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V113">
      <formula1>-1000000000000000000</formula1>
      <formula2>1000000000000000000</formula2>
    </dataValidation>
    <dataValidation type="decimal" showErrorMessage="1" errorTitle="Kesalahan Jenis Data" error="Data yang dimasukkan harus berupa Angka!" sqref="W113">
      <formula1>-1000000000000000000</formula1>
      <formula2>1000000000000000000</formula2>
    </dataValidation>
    <dataValidation type="decimal" showErrorMessage="1" errorTitle="Kesalahan Jenis Data" error="Data yang dimasukkan harus berupa Angka!" sqref="X113">
      <formula1>-1000000000000000000</formula1>
      <formula2>1000000000000000000</formula2>
    </dataValidation>
    <dataValidation type="decimal" showErrorMessage="1" errorTitle="Kesalahan Jenis Data" error="Data yang dimasukkan harus berupa Angka!" sqref="Y113">
      <formula1>-1000000000000000000</formula1>
      <formula2>1000000000000000000</formula2>
    </dataValidation>
    <dataValidation type="decimal" showErrorMessage="1" errorTitle="Kesalahan Jenis Data" error="Data yang dimasukkan harus berupa Angka!" sqref="Z113">
      <formula1>-1000000000000000000</formula1>
      <formula2>1000000000000000000</formula2>
    </dataValidation>
    <dataValidation type="decimal" showErrorMessage="1" errorTitle="Kesalahan Jenis Data" error="Data yang dimasukkan harus berupa Angka!" sqref="AA113">
      <formula1>-1000000000000000000</formula1>
      <formula2>1000000000000000000</formula2>
    </dataValidation>
    <dataValidation type="decimal" showErrorMessage="1" errorTitle="Kesalahan Jenis Data" error="Data yang dimasukkan harus berupa Angka!" sqref="AB113">
      <formula1>-1000000000000000000</formula1>
      <formula2>1000000000000000000</formula2>
    </dataValidation>
    <dataValidation type="decimal" showErrorMessage="1" errorTitle="Kesalahan Jenis Data" error="Data yang dimasukkan harus berupa Angka!" sqref="AC113">
      <formula1>-1000000000000000000</formula1>
      <formula2>1000000000000000000</formula2>
    </dataValidation>
    <dataValidation type="decimal" showErrorMessage="1" errorTitle="Kesalahan Jenis Data" error="Data yang dimasukkan harus berupa Angka!" sqref="AD113">
      <formula1>-1000000000000000000</formula1>
      <formula2>1000000000000000000</formula2>
    </dataValidation>
    <dataValidation type="decimal" showErrorMessage="1" errorTitle="Kesalahan Jenis Data" error="Data yang dimasukkan harus berupa Angka!" sqref="AE113">
      <formula1>-1000000000000000000</formula1>
      <formula2>1000000000000000000</formula2>
    </dataValidation>
    <dataValidation type="decimal" showErrorMessage="1" errorTitle="Kesalahan Jenis Data" error="Data yang dimasukkan harus berupa Angka!" sqref="AF113">
      <formula1>-1000000000000000000</formula1>
      <formula2>1000000000000000000</formula2>
    </dataValidation>
    <dataValidation type="decimal" showErrorMessage="1" errorTitle="Kesalahan Jenis Data" error="Data yang dimasukkan harus berupa Angka!" sqref="AG113">
      <formula1>-1000000000000000000</formula1>
      <formula2>1000000000000000000</formula2>
    </dataValidation>
    <dataValidation type="decimal" showErrorMessage="1" errorTitle="Kesalahan Jenis Data" error="Data yang dimasukkan harus berupa Angka!" sqref="AH113">
      <formula1>-1000000000000000000</formula1>
      <formula2>1000000000000000000</formula2>
    </dataValidation>
    <dataValidation type="decimal" showErrorMessage="1" errorTitle="Kesalahan Jenis Data" error="Data yang dimasukkan harus berupa Angka!" sqref="AI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ate" showErrorMessage="1" errorTitle="Kesalahan Jenis Data" error="Data yang dimasukkan harus berupa tanggal!" sqref="N114">
      <formula1>0</formula1>
      <formula2>2958465.99999999</formula2>
    </dataValidation>
    <dataValidation type="date" showErrorMessage="1" errorTitle="Kesalahan Jenis Data" error="Data yang dimasukkan harus berupa tanggal!" sqref="O114">
      <formula1>0</formula1>
      <formula2>2958465.99999999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V114">
      <formula1>-1000000000000000000</formula1>
      <formula2>1000000000000000000</formula2>
    </dataValidation>
    <dataValidation type="decimal" showErrorMessage="1" errorTitle="Kesalahan Jenis Data" error="Data yang dimasukkan harus berupa Angka!" sqref="W114">
      <formula1>-1000000000000000000</formula1>
      <formula2>1000000000000000000</formula2>
    </dataValidation>
    <dataValidation type="decimal" showErrorMessage="1" errorTitle="Kesalahan Jenis Data" error="Data yang dimasukkan harus berupa Angka!" sqref="X114">
      <formula1>-1000000000000000000</formula1>
      <formula2>1000000000000000000</formula2>
    </dataValidation>
    <dataValidation type="decimal" showErrorMessage="1" errorTitle="Kesalahan Jenis Data" error="Data yang dimasukkan harus berupa Angka!" sqref="Y114">
      <formula1>-1000000000000000000</formula1>
      <formula2>1000000000000000000</formula2>
    </dataValidation>
    <dataValidation type="decimal" showErrorMessage="1" errorTitle="Kesalahan Jenis Data" error="Data yang dimasukkan harus berupa Angka!" sqref="Z114">
      <formula1>-1000000000000000000</formula1>
      <formula2>1000000000000000000</formula2>
    </dataValidation>
    <dataValidation type="decimal" showErrorMessage="1" errorTitle="Kesalahan Jenis Data" error="Data yang dimasukkan harus berupa Angka!" sqref="AA114">
      <formula1>-1000000000000000000</formula1>
      <formula2>1000000000000000000</formula2>
    </dataValidation>
    <dataValidation type="decimal" showErrorMessage="1" errorTitle="Kesalahan Jenis Data" error="Data yang dimasukkan harus berupa Angka!" sqref="AB114">
      <formula1>-1000000000000000000</formula1>
      <formula2>1000000000000000000</formula2>
    </dataValidation>
    <dataValidation type="decimal" showErrorMessage="1" errorTitle="Kesalahan Jenis Data" error="Data yang dimasukkan harus berupa Angka!" sqref="AC114">
      <formula1>-1000000000000000000</formula1>
      <formula2>1000000000000000000</formula2>
    </dataValidation>
    <dataValidation type="decimal" showErrorMessage="1" errorTitle="Kesalahan Jenis Data" error="Data yang dimasukkan harus berupa Angka!" sqref="AD114">
      <formula1>-1000000000000000000</formula1>
      <formula2>1000000000000000000</formula2>
    </dataValidation>
    <dataValidation type="decimal" showErrorMessage="1" errorTitle="Kesalahan Jenis Data" error="Data yang dimasukkan harus berupa Angka!" sqref="AE114">
      <formula1>-1000000000000000000</formula1>
      <formula2>1000000000000000000</formula2>
    </dataValidation>
    <dataValidation type="decimal" showErrorMessage="1" errorTitle="Kesalahan Jenis Data" error="Data yang dimasukkan harus berupa Angka!" sqref="AF114">
      <formula1>-1000000000000000000</formula1>
      <formula2>1000000000000000000</formula2>
    </dataValidation>
    <dataValidation type="decimal" showErrorMessage="1" errorTitle="Kesalahan Jenis Data" error="Data yang dimasukkan harus berupa Angka!" sqref="AG114">
      <formula1>-1000000000000000000</formula1>
      <formula2>1000000000000000000</formula2>
    </dataValidation>
    <dataValidation type="decimal" showErrorMessage="1" errorTitle="Kesalahan Jenis Data" error="Data yang dimasukkan harus berupa Angka!" sqref="AH114">
      <formula1>-1000000000000000000</formula1>
      <formula2>1000000000000000000</formula2>
    </dataValidation>
    <dataValidation type="decimal" showErrorMessage="1" errorTitle="Kesalahan Jenis Data" error="Data yang dimasukkan harus berupa Angka!" sqref="AI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ate" showErrorMessage="1" errorTitle="Kesalahan Jenis Data" error="Data yang dimasukkan harus berupa tanggal!" sqref="N115">
      <formula1>0</formula1>
      <formula2>2958465.99999999</formula2>
    </dataValidation>
    <dataValidation type="date" showErrorMessage="1" errorTitle="Kesalahan Jenis Data" error="Data yang dimasukkan harus berupa tanggal!" sqref="O115">
      <formula1>0</formula1>
      <formula2>2958465.99999999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V115">
      <formula1>-1000000000000000000</formula1>
      <formula2>1000000000000000000</formula2>
    </dataValidation>
    <dataValidation type="decimal" showErrorMessage="1" errorTitle="Kesalahan Jenis Data" error="Data yang dimasukkan harus berupa Angka!" sqref="W115">
      <formula1>-1000000000000000000</formula1>
      <formula2>1000000000000000000</formula2>
    </dataValidation>
    <dataValidation type="decimal" showErrorMessage="1" errorTitle="Kesalahan Jenis Data" error="Data yang dimasukkan harus berupa Angka!" sqref="X115">
      <formula1>-1000000000000000000</formula1>
      <formula2>1000000000000000000</formula2>
    </dataValidation>
    <dataValidation type="decimal" showErrorMessage="1" errorTitle="Kesalahan Jenis Data" error="Data yang dimasukkan harus berupa Angka!" sqref="Y115">
      <formula1>-1000000000000000000</formula1>
      <formula2>1000000000000000000</formula2>
    </dataValidation>
    <dataValidation type="decimal" showErrorMessage="1" errorTitle="Kesalahan Jenis Data" error="Data yang dimasukkan harus berupa Angka!" sqref="Z115">
      <formula1>-1000000000000000000</formula1>
      <formula2>1000000000000000000</formula2>
    </dataValidation>
    <dataValidation type="decimal" showErrorMessage="1" errorTitle="Kesalahan Jenis Data" error="Data yang dimasukkan harus berupa Angka!" sqref="AA115">
      <formula1>-1000000000000000000</formula1>
      <formula2>1000000000000000000</formula2>
    </dataValidation>
    <dataValidation type="decimal" showErrorMessage="1" errorTitle="Kesalahan Jenis Data" error="Data yang dimasukkan harus berupa Angka!" sqref="AB115">
      <formula1>-1000000000000000000</formula1>
      <formula2>1000000000000000000</formula2>
    </dataValidation>
    <dataValidation type="decimal" showErrorMessage="1" errorTitle="Kesalahan Jenis Data" error="Data yang dimasukkan harus berupa Angka!" sqref="AC115">
      <formula1>-1000000000000000000</formula1>
      <formula2>1000000000000000000</formula2>
    </dataValidation>
    <dataValidation type="decimal" showErrorMessage="1" errorTitle="Kesalahan Jenis Data" error="Data yang dimasukkan harus berupa Angka!" sqref="AD115">
      <formula1>-1000000000000000000</formula1>
      <formula2>1000000000000000000</formula2>
    </dataValidation>
    <dataValidation type="decimal" showErrorMessage="1" errorTitle="Kesalahan Jenis Data" error="Data yang dimasukkan harus berupa Angka!" sqref="AE115">
      <formula1>-1000000000000000000</formula1>
      <formula2>1000000000000000000</formula2>
    </dataValidation>
    <dataValidation type="decimal" showErrorMessage="1" errorTitle="Kesalahan Jenis Data" error="Data yang dimasukkan harus berupa Angka!" sqref="AF115">
      <formula1>-1000000000000000000</formula1>
      <formula2>1000000000000000000</formula2>
    </dataValidation>
    <dataValidation type="decimal" showErrorMessage="1" errorTitle="Kesalahan Jenis Data" error="Data yang dimasukkan harus berupa Angka!" sqref="AG115">
      <formula1>-1000000000000000000</formula1>
      <formula2>1000000000000000000</formula2>
    </dataValidation>
    <dataValidation type="decimal" showErrorMessage="1" errorTitle="Kesalahan Jenis Data" error="Data yang dimasukkan harus berupa Angka!" sqref="AH115">
      <formula1>-1000000000000000000</formula1>
      <formula2>1000000000000000000</formula2>
    </dataValidation>
    <dataValidation type="decimal" showErrorMessage="1" errorTitle="Kesalahan Jenis Data" error="Data yang dimasukkan harus berupa Angka!" sqref="AI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4" width="30" style="1" customWidth="1"/>
    <col min="15" max="15" width="1" style="1" customWidth="1"/>
    <col min="16" max="16" width="9.140625" style="1" customWidth="1"/>
    <col min="17" max="16384" width="9.140625" style="1"/>
  </cols>
  <sheetData>
    <row r="2" spans="2:15" ht="5.0999999999999996" customHeight="1">
      <c r="B2" s="9" t="s">
        <v>689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2"/>
    </row>
    <row r="8" spans="2: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>
      <c r="B9" s="2"/>
      <c r="C9" s="46" t="s">
        <v>690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"/>
    </row>
    <row r="10" spans="2:15"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2"/>
    </row>
    <row r="11" spans="2:15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"/>
    </row>
    <row r="12" spans="2:15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2"/>
    </row>
    <row r="14" spans="2:15">
      <c r="B14" s="2"/>
      <c r="C14" s="40" t="s">
        <v>126</v>
      </c>
      <c r="D14" s="38"/>
      <c r="E14" s="43" t="str">
        <f>"Nama Debitur"</f>
        <v>Nama Debitur</v>
      </c>
      <c r="F14" s="43" t="str">
        <f>"Kategori Usaha"</f>
        <v>Kategori Usaha</v>
      </c>
      <c r="G14" s="43" t="str">
        <f>"Jenis Tagihan"</f>
        <v>Jenis Tagihan</v>
      </c>
      <c r="H14" s="43" t="str">
        <f>"Jenis Dana"</f>
        <v>Jenis Dana</v>
      </c>
      <c r="I14" s="43" t="str">
        <f>"DD/MM/YY Mulai"</f>
        <v>DD/MM/YY Mulai</v>
      </c>
      <c r="J14" s="43" t="str">
        <f>"Mata Uang"</f>
        <v>Mata Uang</v>
      </c>
      <c r="K14" s="43" t="str">
        <f>"Peringkat Debitur"</f>
        <v>Peringkat Debitur</v>
      </c>
      <c r="L14" s="43" t="str">
        <f>"Saldo Buku (Juta Rp)"</f>
        <v>Saldo Buku (Juta Rp)</v>
      </c>
      <c r="M14" s="43" t="str">
        <f>"Saldo Penilaian SAP (Juta Rp)"</f>
        <v>Saldo Penilaian SAP (Juta Rp)</v>
      </c>
      <c r="N14" s="43" t="str">
        <f>"AYD (Juta Rp)"</f>
        <v>AYD (Juta Rp)</v>
      </c>
      <c r="O14" s="2"/>
    </row>
    <row r="15" spans="2:15">
      <c r="B15" s="2"/>
      <c r="C15" s="41"/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2"/>
    </row>
    <row r="16" spans="2:15">
      <c r="B16" s="2"/>
      <c r="C16" s="37" t="s">
        <v>8</v>
      </c>
      <c r="D16" s="38"/>
      <c r="E16" s="34" t="s">
        <v>103</v>
      </c>
      <c r="F16" s="39">
        <v>0</v>
      </c>
      <c r="G16" s="39">
        <v>0</v>
      </c>
      <c r="H16" s="39">
        <v>0</v>
      </c>
      <c r="I16" s="53"/>
      <c r="J16" s="39">
        <v>0</v>
      </c>
      <c r="K16" s="51">
        <v>0</v>
      </c>
      <c r="L16" s="51">
        <v>0</v>
      </c>
      <c r="M16" s="51">
        <v>0</v>
      </c>
      <c r="N16" s="51">
        <v>0</v>
      </c>
      <c r="O16" s="2"/>
    </row>
    <row r="17" spans="2:15">
      <c r="B17" s="2"/>
      <c r="C17" s="37" t="s">
        <v>127</v>
      </c>
      <c r="D17" s="38"/>
      <c r="E17" s="34" t="s">
        <v>103</v>
      </c>
      <c r="F17" s="39">
        <v>0</v>
      </c>
      <c r="G17" s="39">
        <v>0</v>
      </c>
      <c r="H17" s="39">
        <v>0</v>
      </c>
      <c r="I17" s="53"/>
      <c r="J17" s="39">
        <v>0</v>
      </c>
      <c r="K17" s="51">
        <v>0</v>
      </c>
      <c r="L17" s="51">
        <v>0</v>
      </c>
      <c r="M17" s="51">
        <v>0</v>
      </c>
      <c r="N17" s="51">
        <v>0</v>
      </c>
      <c r="O17" s="2"/>
    </row>
    <row r="18" spans="2:15">
      <c r="B18" s="2"/>
      <c r="C18" s="37" t="s">
        <v>128</v>
      </c>
      <c r="D18" s="38"/>
      <c r="E18" s="34" t="s">
        <v>103</v>
      </c>
      <c r="F18" s="39">
        <v>0</v>
      </c>
      <c r="G18" s="39">
        <v>0</v>
      </c>
      <c r="H18" s="39">
        <v>0</v>
      </c>
      <c r="I18" s="53"/>
      <c r="J18" s="39">
        <v>0</v>
      </c>
      <c r="K18" s="51">
        <v>0</v>
      </c>
      <c r="L18" s="51">
        <v>0</v>
      </c>
      <c r="M18" s="51">
        <v>0</v>
      </c>
      <c r="N18" s="51">
        <v>0</v>
      </c>
      <c r="O18" s="2"/>
    </row>
    <row r="19" spans="2:15">
      <c r="B19" s="2"/>
      <c r="C19" s="37" t="s">
        <v>129</v>
      </c>
      <c r="D19" s="38"/>
      <c r="E19" s="34" t="s">
        <v>103</v>
      </c>
      <c r="F19" s="39">
        <v>0</v>
      </c>
      <c r="G19" s="39">
        <v>0</v>
      </c>
      <c r="H19" s="39">
        <v>0</v>
      </c>
      <c r="I19" s="53"/>
      <c r="J19" s="39">
        <v>0</v>
      </c>
      <c r="K19" s="51">
        <v>0</v>
      </c>
      <c r="L19" s="51">
        <v>0</v>
      </c>
      <c r="M19" s="51">
        <v>0</v>
      </c>
      <c r="N19" s="51">
        <v>0</v>
      </c>
      <c r="O19" s="2"/>
    </row>
    <row r="20" spans="2:15">
      <c r="B20" s="2"/>
      <c r="C20" s="37" t="s">
        <v>130</v>
      </c>
      <c r="D20" s="38"/>
      <c r="E20" s="34" t="s">
        <v>103</v>
      </c>
      <c r="F20" s="39">
        <v>0</v>
      </c>
      <c r="G20" s="39">
        <v>0</v>
      </c>
      <c r="H20" s="39">
        <v>0</v>
      </c>
      <c r="I20" s="53"/>
      <c r="J20" s="39">
        <v>0</v>
      </c>
      <c r="K20" s="51">
        <v>0</v>
      </c>
      <c r="L20" s="51">
        <v>0</v>
      </c>
      <c r="M20" s="51">
        <v>0</v>
      </c>
      <c r="N20" s="51">
        <v>0</v>
      </c>
      <c r="O20" s="2"/>
    </row>
    <row r="21" spans="2:15">
      <c r="B21" s="2"/>
      <c r="C21" s="37" t="s">
        <v>131</v>
      </c>
      <c r="D21" s="38"/>
      <c r="E21" s="34" t="s">
        <v>103</v>
      </c>
      <c r="F21" s="39">
        <v>0</v>
      </c>
      <c r="G21" s="39">
        <v>0</v>
      </c>
      <c r="H21" s="39">
        <v>0</v>
      </c>
      <c r="I21" s="53"/>
      <c r="J21" s="39">
        <v>0</v>
      </c>
      <c r="K21" s="51">
        <v>0</v>
      </c>
      <c r="L21" s="51">
        <v>0</v>
      </c>
      <c r="M21" s="51">
        <v>0</v>
      </c>
      <c r="N21" s="51">
        <v>0</v>
      </c>
      <c r="O21" s="2"/>
    </row>
    <row r="22" spans="2:15">
      <c r="B22" s="2"/>
      <c r="C22" s="37" t="s">
        <v>132</v>
      </c>
      <c r="D22" s="38"/>
      <c r="E22" s="34" t="s">
        <v>103</v>
      </c>
      <c r="F22" s="39">
        <v>0</v>
      </c>
      <c r="G22" s="39">
        <v>0</v>
      </c>
      <c r="H22" s="39">
        <v>0</v>
      </c>
      <c r="I22" s="53"/>
      <c r="J22" s="39">
        <v>0</v>
      </c>
      <c r="K22" s="51">
        <v>0</v>
      </c>
      <c r="L22" s="51">
        <v>0</v>
      </c>
      <c r="M22" s="51">
        <v>0</v>
      </c>
      <c r="N22" s="51">
        <v>0</v>
      </c>
      <c r="O22" s="2"/>
    </row>
    <row r="23" spans="2:15">
      <c r="B23" s="2"/>
      <c r="C23" s="37" t="s">
        <v>133</v>
      </c>
      <c r="D23" s="38"/>
      <c r="E23" s="34" t="s">
        <v>103</v>
      </c>
      <c r="F23" s="39">
        <v>0</v>
      </c>
      <c r="G23" s="39">
        <v>0</v>
      </c>
      <c r="H23" s="39">
        <v>0</v>
      </c>
      <c r="I23" s="53"/>
      <c r="J23" s="39">
        <v>0</v>
      </c>
      <c r="K23" s="51">
        <v>0</v>
      </c>
      <c r="L23" s="51">
        <v>0</v>
      </c>
      <c r="M23" s="51">
        <v>0</v>
      </c>
      <c r="N23" s="51">
        <v>0</v>
      </c>
      <c r="O23" s="2"/>
    </row>
    <row r="24" spans="2:15">
      <c r="B24" s="2"/>
      <c r="C24" s="37" t="s">
        <v>134</v>
      </c>
      <c r="D24" s="38"/>
      <c r="E24" s="34" t="s">
        <v>103</v>
      </c>
      <c r="F24" s="39">
        <v>0</v>
      </c>
      <c r="G24" s="39">
        <v>0</v>
      </c>
      <c r="H24" s="39">
        <v>0</v>
      </c>
      <c r="I24" s="53"/>
      <c r="J24" s="39">
        <v>0</v>
      </c>
      <c r="K24" s="51">
        <v>0</v>
      </c>
      <c r="L24" s="51">
        <v>0</v>
      </c>
      <c r="M24" s="51">
        <v>0</v>
      </c>
      <c r="N24" s="51">
        <v>0</v>
      </c>
      <c r="O24" s="2"/>
    </row>
    <row r="25" spans="2:15">
      <c r="B25" s="2"/>
      <c r="C25" s="37" t="s">
        <v>135</v>
      </c>
      <c r="D25" s="38"/>
      <c r="E25" s="34" t="s">
        <v>103</v>
      </c>
      <c r="F25" s="39">
        <v>0</v>
      </c>
      <c r="G25" s="39">
        <v>0</v>
      </c>
      <c r="H25" s="39">
        <v>0</v>
      </c>
      <c r="I25" s="53"/>
      <c r="J25" s="39">
        <v>0</v>
      </c>
      <c r="K25" s="51">
        <v>0</v>
      </c>
      <c r="L25" s="51">
        <v>0</v>
      </c>
      <c r="M25" s="51">
        <v>0</v>
      </c>
      <c r="N25" s="51">
        <v>0</v>
      </c>
      <c r="O25" s="2"/>
    </row>
    <row r="26" spans="2:15">
      <c r="B26" s="2"/>
      <c r="C26" s="37" t="s">
        <v>136</v>
      </c>
      <c r="D26" s="38"/>
      <c r="E26" s="34" t="s">
        <v>103</v>
      </c>
      <c r="F26" s="39">
        <v>0</v>
      </c>
      <c r="G26" s="39">
        <v>0</v>
      </c>
      <c r="H26" s="39">
        <v>0</v>
      </c>
      <c r="I26" s="53"/>
      <c r="J26" s="39">
        <v>0</v>
      </c>
      <c r="K26" s="51">
        <v>0</v>
      </c>
      <c r="L26" s="51">
        <v>0</v>
      </c>
      <c r="M26" s="51">
        <v>0</v>
      </c>
      <c r="N26" s="51">
        <v>0</v>
      </c>
      <c r="O26" s="2"/>
    </row>
    <row r="27" spans="2:15">
      <c r="B27" s="2"/>
      <c r="C27" s="37" t="s">
        <v>137</v>
      </c>
      <c r="D27" s="38"/>
      <c r="E27" s="34" t="s">
        <v>103</v>
      </c>
      <c r="F27" s="39">
        <v>0</v>
      </c>
      <c r="G27" s="39">
        <v>0</v>
      </c>
      <c r="H27" s="39">
        <v>0</v>
      </c>
      <c r="I27" s="53"/>
      <c r="J27" s="39">
        <v>0</v>
      </c>
      <c r="K27" s="51">
        <v>0</v>
      </c>
      <c r="L27" s="51">
        <v>0</v>
      </c>
      <c r="M27" s="51">
        <v>0</v>
      </c>
      <c r="N27" s="51">
        <v>0</v>
      </c>
      <c r="O27" s="2"/>
    </row>
    <row r="28" spans="2:15">
      <c r="B28" s="2"/>
      <c r="C28" s="37" t="s">
        <v>138</v>
      </c>
      <c r="D28" s="38"/>
      <c r="E28" s="34" t="s">
        <v>103</v>
      </c>
      <c r="F28" s="39">
        <v>0</v>
      </c>
      <c r="G28" s="39">
        <v>0</v>
      </c>
      <c r="H28" s="39">
        <v>0</v>
      </c>
      <c r="I28" s="53"/>
      <c r="J28" s="39">
        <v>0</v>
      </c>
      <c r="K28" s="51">
        <v>0</v>
      </c>
      <c r="L28" s="51">
        <v>0</v>
      </c>
      <c r="M28" s="51">
        <v>0</v>
      </c>
      <c r="N28" s="51">
        <v>0</v>
      </c>
      <c r="O28" s="2"/>
    </row>
    <row r="29" spans="2:15">
      <c r="B29" s="2"/>
      <c r="C29" s="37" t="s">
        <v>139</v>
      </c>
      <c r="D29" s="38"/>
      <c r="E29" s="34" t="s">
        <v>103</v>
      </c>
      <c r="F29" s="39">
        <v>0</v>
      </c>
      <c r="G29" s="39">
        <v>0</v>
      </c>
      <c r="H29" s="39">
        <v>0</v>
      </c>
      <c r="I29" s="53"/>
      <c r="J29" s="39">
        <v>0</v>
      </c>
      <c r="K29" s="51">
        <v>0</v>
      </c>
      <c r="L29" s="51">
        <v>0</v>
      </c>
      <c r="M29" s="51">
        <v>0</v>
      </c>
      <c r="N29" s="51">
        <v>0</v>
      </c>
      <c r="O29" s="2"/>
    </row>
    <row r="30" spans="2:15">
      <c r="B30" s="2"/>
      <c r="C30" s="37" t="s">
        <v>140</v>
      </c>
      <c r="D30" s="38"/>
      <c r="E30" s="34" t="s">
        <v>103</v>
      </c>
      <c r="F30" s="39">
        <v>0</v>
      </c>
      <c r="G30" s="39">
        <v>0</v>
      </c>
      <c r="H30" s="39">
        <v>0</v>
      </c>
      <c r="I30" s="53"/>
      <c r="J30" s="39">
        <v>0</v>
      </c>
      <c r="K30" s="51">
        <v>0</v>
      </c>
      <c r="L30" s="51">
        <v>0</v>
      </c>
      <c r="M30" s="51">
        <v>0</v>
      </c>
      <c r="N30" s="51">
        <v>0</v>
      </c>
      <c r="O30" s="2"/>
    </row>
    <row r="31" spans="2:15">
      <c r="B31" s="2"/>
      <c r="C31" s="37" t="s">
        <v>141</v>
      </c>
      <c r="D31" s="38"/>
      <c r="E31" s="34" t="s">
        <v>103</v>
      </c>
      <c r="F31" s="39">
        <v>0</v>
      </c>
      <c r="G31" s="39">
        <v>0</v>
      </c>
      <c r="H31" s="39">
        <v>0</v>
      </c>
      <c r="I31" s="53"/>
      <c r="J31" s="39">
        <v>0</v>
      </c>
      <c r="K31" s="51">
        <v>0</v>
      </c>
      <c r="L31" s="51">
        <v>0</v>
      </c>
      <c r="M31" s="51">
        <v>0</v>
      </c>
      <c r="N31" s="51">
        <v>0</v>
      </c>
      <c r="O31" s="2"/>
    </row>
    <row r="32" spans="2:15">
      <c r="B32" s="2"/>
      <c r="C32" s="37" t="s">
        <v>142</v>
      </c>
      <c r="D32" s="38"/>
      <c r="E32" s="34" t="s">
        <v>103</v>
      </c>
      <c r="F32" s="39">
        <v>0</v>
      </c>
      <c r="G32" s="39">
        <v>0</v>
      </c>
      <c r="H32" s="39">
        <v>0</v>
      </c>
      <c r="I32" s="53"/>
      <c r="J32" s="39">
        <v>0</v>
      </c>
      <c r="K32" s="51">
        <v>0</v>
      </c>
      <c r="L32" s="51">
        <v>0</v>
      </c>
      <c r="M32" s="51">
        <v>0</v>
      </c>
      <c r="N32" s="51">
        <v>0</v>
      </c>
      <c r="O32" s="2"/>
    </row>
    <row r="33" spans="2:15">
      <c r="B33" s="2"/>
      <c r="C33" s="37" t="s">
        <v>143</v>
      </c>
      <c r="D33" s="38"/>
      <c r="E33" s="34" t="s">
        <v>103</v>
      </c>
      <c r="F33" s="39">
        <v>0</v>
      </c>
      <c r="G33" s="39">
        <v>0</v>
      </c>
      <c r="H33" s="39">
        <v>0</v>
      </c>
      <c r="I33" s="53"/>
      <c r="J33" s="39">
        <v>0</v>
      </c>
      <c r="K33" s="51">
        <v>0</v>
      </c>
      <c r="L33" s="51">
        <v>0</v>
      </c>
      <c r="M33" s="51">
        <v>0</v>
      </c>
      <c r="N33" s="51">
        <v>0</v>
      </c>
      <c r="O33" s="2"/>
    </row>
    <row r="34" spans="2:15">
      <c r="B34" s="2"/>
      <c r="C34" s="37" t="s">
        <v>144</v>
      </c>
      <c r="D34" s="38"/>
      <c r="E34" s="34" t="s">
        <v>103</v>
      </c>
      <c r="F34" s="39">
        <v>0</v>
      </c>
      <c r="G34" s="39">
        <v>0</v>
      </c>
      <c r="H34" s="39">
        <v>0</v>
      </c>
      <c r="I34" s="53"/>
      <c r="J34" s="39">
        <v>0</v>
      </c>
      <c r="K34" s="51">
        <v>0</v>
      </c>
      <c r="L34" s="51">
        <v>0</v>
      </c>
      <c r="M34" s="51">
        <v>0</v>
      </c>
      <c r="N34" s="51">
        <v>0</v>
      </c>
      <c r="O34" s="2"/>
    </row>
    <row r="35" spans="2:15">
      <c r="B35" s="2"/>
      <c r="C35" s="37" t="s">
        <v>145</v>
      </c>
      <c r="D35" s="38"/>
      <c r="E35" s="34" t="s">
        <v>103</v>
      </c>
      <c r="F35" s="39">
        <v>0</v>
      </c>
      <c r="G35" s="39">
        <v>0</v>
      </c>
      <c r="H35" s="39">
        <v>0</v>
      </c>
      <c r="I35" s="53"/>
      <c r="J35" s="39">
        <v>0</v>
      </c>
      <c r="K35" s="51">
        <v>0</v>
      </c>
      <c r="L35" s="51">
        <v>0</v>
      </c>
      <c r="M35" s="51">
        <v>0</v>
      </c>
      <c r="N35" s="51">
        <v>0</v>
      </c>
      <c r="O35" s="2"/>
    </row>
    <row r="36" spans="2:15">
      <c r="B36" s="2"/>
      <c r="C36" s="37" t="s">
        <v>146</v>
      </c>
      <c r="D36" s="38"/>
      <c r="E36" s="34" t="s">
        <v>103</v>
      </c>
      <c r="F36" s="39">
        <v>0</v>
      </c>
      <c r="G36" s="39">
        <v>0</v>
      </c>
      <c r="H36" s="39">
        <v>0</v>
      </c>
      <c r="I36" s="53"/>
      <c r="J36" s="39">
        <v>0</v>
      </c>
      <c r="K36" s="51">
        <v>0</v>
      </c>
      <c r="L36" s="51">
        <v>0</v>
      </c>
      <c r="M36" s="51">
        <v>0</v>
      </c>
      <c r="N36" s="51">
        <v>0</v>
      </c>
      <c r="O36" s="2"/>
    </row>
    <row r="37" spans="2:15">
      <c r="B37" s="2"/>
      <c r="C37" s="37" t="s">
        <v>147</v>
      </c>
      <c r="D37" s="38"/>
      <c r="E37" s="34" t="s">
        <v>103</v>
      </c>
      <c r="F37" s="39">
        <v>0</v>
      </c>
      <c r="G37" s="39">
        <v>0</v>
      </c>
      <c r="H37" s="39">
        <v>0</v>
      </c>
      <c r="I37" s="53"/>
      <c r="J37" s="39">
        <v>0</v>
      </c>
      <c r="K37" s="51">
        <v>0</v>
      </c>
      <c r="L37" s="51">
        <v>0</v>
      </c>
      <c r="M37" s="51">
        <v>0</v>
      </c>
      <c r="N37" s="51">
        <v>0</v>
      </c>
      <c r="O37" s="2"/>
    </row>
    <row r="38" spans="2:15">
      <c r="B38" s="2"/>
      <c r="C38" s="37" t="s">
        <v>148</v>
      </c>
      <c r="D38" s="38"/>
      <c r="E38" s="34" t="s">
        <v>103</v>
      </c>
      <c r="F38" s="39">
        <v>0</v>
      </c>
      <c r="G38" s="39">
        <v>0</v>
      </c>
      <c r="H38" s="39">
        <v>0</v>
      </c>
      <c r="I38" s="53"/>
      <c r="J38" s="39">
        <v>0</v>
      </c>
      <c r="K38" s="51">
        <v>0</v>
      </c>
      <c r="L38" s="51">
        <v>0</v>
      </c>
      <c r="M38" s="51">
        <v>0</v>
      </c>
      <c r="N38" s="51">
        <v>0</v>
      </c>
      <c r="O38" s="2"/>
    </row>
    <row r="39" spans="2:15">
      <c r="B39" s="2"/>
      <c r="C39" s="37" t="s">
        <v>149</v>
      </c>
      <c r="D39" s="38"/>
      <c r="E39" s="34" t="s">
        <v>103</v>
      </c>
      <c r="F39" s="39">
        <v>0</v>
      </c>
      <c r="G39" s="39">
        <v>0</v>
      </c>
      <c r="H39" s="39">
        <v>0</v>
      </c>
      <c r="I39" s="53"/>
      <c r="J39" s="39">
        <v>0</v>
      </c>
      <c r="K39" s="51">
        <v>0</v>
      </c>
      <c r="L39" s="51">
        <v>0</v>
      </c>
      <c r="M39" s="51">
        <v>0</v>
      </c>
      <c r="N39" s="51">
        <v>0</v>
      </c>
      <c r="O39" s="2"/>
    </row>
    <row r="40" spans="2:15">
      <c r="B40" s="2"/>
      <c r="C40" s="37" t="s">
        <v>150</v>
      </c>
      <c r="D40" s="38"/>
      <c r="E40" s="34" t="s">
        <v>103</v>
      </c>
      <c r="F40" s="39">
        <v>0</v>
      </c>
      <c r="G40" s="39">
        <v>0</v>
      </c>
      <c r="H40" s="39">
        <v>0</v>
      </c>
      <c r="I40" s="53"/>
      <c r="J40" s="39">
        <v>0</v>
      </c>
      <c r="K40" s="51">
        <v>0</v>
      </c>
      <c r="L40" s="51">
        <v>0</v>
      </c>
      <c r="M40" s="51">
        <v>0</v>
      </c>
      <c r="N40" s="51">
        <v>0</v>
      </c>
      <c r="O40" s="2"/>
    </row>
    <row r="41" spans="2:15">
      <c r="B41" s="2"/>
      <c r="C41" s="37" t="s">
        <v>151</v>
      </c>
      <c r="D41" s="38"/>
      <c r="E41" s="34" t="s">
        <v>103</v>
      </c>
      <c r="F41" s="39">
        <v>0</v>
      </c>
      <c r="G41" s="39">
        <v>0</v>
      </c>
      <c r="H41" s="39">
        <v>0</v>
      </c>
      <c r="I41" s="53"/>
      <c r="J41" s="39">
        <v>0</v>
      </c>
      <c r="K41" s="51">
        <v>0</v>
      </c>
      <c r="L41" s="51">
        <v>0</v>
      </c>
      <c r="M41" s="51">
        <v>0</v>
      </c>
      <c r="N41" s="51">
        <v>0</v>
      </c>
      <c r="O41" s="2"/>
    </row>
    <row r="42" spans="2:15">
      <c r="B42" s="2"/>
      <c r="C42" s="37" t="s">
        <v>152</v>
      </c>
      <c r="D42" s="38"/>
      <c r="E42" s="34" t="s">
        <v>103</v>
      </c>
      <c r="F42" s="39">
        <v>0</v>
      </c>
      <c r="G42" s="39">
        <v>0</v>
      </c>
      <c r="H42" s="39">
        <v>0</v>
      </c>
      <c r="I42" s="53"/>
      <c r="J42" s="39">
        <v>0</v>
      </c>
      <c r="K42" s="51">
        <v>0</v>
      </c>
      <c r="L42" s="51">
        <v>0</v>
      </c>
      <c r="M42" s="51">
        <v>0</v>
      </c>
      <c r="N42" s="51">
        <v>0</v>
      </c>
      <c r="O42" s="2"/>
    </row>
    <row r="43" spans="2:15">
      <c r="B43" s="2"/>
      <c r="C43" s="37" t="s">
        <v>153</v>
      </c>
      <c r="D43" s="38"/>
      <c r="E43" s="34" t="s">
        <v>103</v>
      </c>
      <c r="F43" s="39">
        <v>0</v>
      </c>
      <c r="G43" s="39">
        <v>0</v>
      </c>
      <c r="H43" s="39">
        <v>0</v>
      </c>
      <c r="I43" s="53"/>
      <c r="J43" s="39">
        <v>0</v>
      </c>
      <c r="K43" s="51">
        <v>0</v>
      </c>
      <c r="L43" s="51">
        <v>0</v>
      </c>
      <c r="M43" s="51">
        <v>0</v>
      </c>
      <c r="N43" s="51">
        <v>0</v>
      </c>
      <c r="O43" s="2"/>
    </row>
    <row r="44" spans="2:15">
      <c r="B44" s="2"/>
      <c r="C44" s="37" t="s">
        <v>154</v>
      </c>
      <c r="D44" s="38"/>
      <c r="E44" s="34" t="s">
        <v>103</v>
      </c>
      <c r="F44" s="39">
        <v>0</v>
      </c>
      <c r="G44" s="39">
        <v>0</v>
      </c>
      <c r="H44" s="39">
        <v>0</v>
      </c>
      <c r="I44" s="53"/>
      <c r="J44" s="39">
        <v>0</v>
      </c>
      <c r="K44" s="51">
        <v>0</v>
      </c>
      <c r="L44" s="51">
        <v>0</v>
      </c>
      <c r="M44" s="51">
        <v>0</v>
      </c>
      <c r="N44" s="51">
        <v>0</v>
      </c>
      <c r="O44" s="2"/>
    </row>
    <row r="45" spans="2:15">
      <c r="B45" s="2"/>
      <c r="C45" s="37" t="s">
        <v>155</v>
      </c>
      <c r="D45" s="38"/>
      <c r="E45" s="34" t="s">
        <v>103</v>
      </c>
      <c r="F45" s="39">
        <v>0</v>
      </c>
      <c r="G45" s="39">
        <v>0</v>
      </c>
      <c r="H45" s="39">
        <v>0</v>
      </c>
      <c r="I45" s="53"/>
      <c r="J45" s="39">
        <v>0</v>
      </c>
      <c r="K45" s="51">
        <v>0</v>
      </c>
      <c r="L45" s="51">
        <v>0</v>
      </c>
      <c r="M45" s="51">
        <v>0</v>
      </c>
      <c r="N45" s="51">
        <v>0</v>
      </c>
      <c r="O45" s="2"/>
    </row>
    <row r="46" spans="2:15">
      <c r="B46" s="2"/>
      <c r="C46" s="37" t="s">
        <v>156</v>
      </c>
      <c r="D46" s="38"/>
      <c r="E46" s="34" t="s">
        <v>103</v>
      </c>
      <c r="F46" s="39">
        <v>0</v>
      </c>
      <c r="G46" s="39">
        <v>0</v>
      </c>
      <c r="H46" s="39">
        <v>0</v>
      </c>
      <c r="I46" s="53"/>
      <c r="J46" s="39">
        <v>0</v>
      </c>
      <c r="K46" s="51">
        <v>0</v>
      </c>
      <c r="L46" s="51">
        <v>0</v>
      </c>
      <c r="M46" s="51">
        <v>0</v>
      </c>
      <c r="N46" s="51">
        <v>0</v>
      </c>
      <c r="O46" s="2"/>
    </row>
    <row r="47" spans="2:15">
      <c r="B47" s="2"/>
      <c r="C47" s="37" t="s">
        <v>157</v>
      </c>
      <c r="D47" s="38"/>
      <c r="E47" s="34" t="s">
        <v>103</v>
      </c>
      <c r="F47" s="39">
        <v>0</v>
      </c>
      <c r="G47" s="39">
        <v>0</v>
      </c>
      <c r="H47" s="39">
        <v>0</v>
      </c>
      <c r="I47" s="53"/>
      <c r="J47" s="39">
        <v>0</v>
      </c>
      <c r="K47" s="51">
        <v>0</v>
      </c>
      <c r="L47" s="51">
        <v>0</v>
      </c>
      <c r="M47" s="51">
        <v>0</v>
      </c>
      <c r="N47" s="51">
        <v>0</v>
      </c>
      <c r="O47" s="2"/>
    </row>
    <row r="48" spans="2:15">
      <c r="B48" s="2"/>
      <c r="C48" s="37" t="s">
        <v>158</v>
      </c>
      <c r="D48" s="38"/>
      <c r="E48" s="34" t="s">
        <v>103</v>
      </c>
      <c r="F48" s="39">
        <v>0</v>
      </c>
      <c r="G48" s="39">
        <v>0</v>
      </c>
      <c r="H48" s="39">
        <v>0</v>
      </c>
      <c r="I48" s="53"/>
      <c r="J48" s="39">
        <v>0</v>
      </c>
      <c r="K48" s="51">
        <v>0</v>
      </c>
      <c r="L48" s="51">
        <v>0</v>
      </c>
      <c r="M48" s="51">
        <v>0</v>
      </c>
      <c r="N48" s="51">
        <v>0</v>
      </c>
      <c r="O48" s="2"/>
    </row>
    <row r="49" spans="2:15">
      <c r="B49" s="2"/>
      <c r="C49" s="37" t="s">
        <v>159</v>
      </c>
      <c r="D49" s="38"/>
      <c r="E49" s="34" t="s">
        <v>103</v>
      </c>
      <c r="F49" s="39">
        <v>0</v>
      </c>
      <c r="G49" s="39">
        <v>0</v>
      </c>
      <c r="H49" s="39">
        <v>0</v>
      </c>
      <c r="I49" s="53"/>
      <c r="J49" s="39">
        <v>0</v>
      </c>
      <c r="K49" s="51">
        <v>0</v>
      </c>
      <c r="L49" s="51">
        <v>0</v>
      </c>
      <c r="M49" s="51">
        <v>0</v>
      </c>
      <c r="N49" s="51">
        <v>0</v>
      </c>
      <c r="O49" s="2"/>
    </row>
    <row r="50" spans="2:15">
      <c r="B50" s="2"/>
      <c r="C50" s="37" t="s">
        <v>160</v>
      </c>
      <c r="D50" s="38"/>
      <c r="E50" s="34" t="s">
        <v>103</v>
      </c>
      <c r="F50" s="39">
        <v>0</v>
      </c>
      <c r="G50" s="39">
        <v>0</v>
      </c>
      <c r="H50" s="39">
        <v>0</v>
      </c>
      <c r="I50" s="53"/>
      <c r="J50" s="39">
        <v>0</v>
      </c>
      <c r="K50" s="51">
        <v>0</v>
      </c>
      <c r="L50" s="51">
        <v>0</v>
      </c>
      <c r="M50" s="51">
        <v>0</v>
      </c>
      <c r="N50" s="51">
        <v>0</v>
      </c>
      <c r="O50" s="2"/>
    </row>
    <row r="51" spans="2:15">
      <c r="B51" s="2"/>
      <c r="C51" s="37" t="s">
        <v>161</v>
      </c>
      <c r="D51" s="38"/>
      <c r="E51" s="34" t="s">
        <v>103</v>
      </c>
      <c r="F51" s="39">
        <v>0</v>
      </c>
      <c r="G51" s="39">
        <v>0</v>
      </c>
      <c r="H51" s="39">
        <v>0</v>
      </c>
      <c r="I51" s="53"/>
      <c r="J51" s="39">
        <v>0</v>
      </c>
      <c r="K51" s="51">
        <v>0</v>
      </c>
      <c r="L51" s="51">
        <v>0</v>
      </c>
      <c r="M51" s="51">
        <v>0</v>
      </c>
      <c r="N51" s="51">
        <v>0</v>
      </c>
      <c r="O51" s="2"/>
    </row>
    <row r="52" spans="2:15">
      <c r="B52" s="2"/>
      <c r="C52" s="37" t="s">
        <v>162</v>
      </c>
      <c r="D52" s="38"/>
      <c r="E52" s="34" t="s">
        <v>103</v>
      </c>
      <c r="F52" s="39">
        <v>0</v>
      </c>
      <c r="G52" s="39">
        <v>0</v>
      </c>
      <c r="H52" s="39">
        <v>0</v>
      </c>
      <c r="I52" s="53"/>
      <c r="J52" s="39">
        <v>0</v>
      </c>
      <c r="K52" s="51">
        <v>0</v>
      </c>
      <c r="L52" s="51">
        <v>0</v>
      </c>
      <c r="M52" s="51">
        <v>0</v>
      </c>
      <c r="N52" s="51">
        <v>0</v>
      </c>
      <c r="O52" s="2"/>
    </row>
    <row r="53" spans="2:15">
      <c r="B53" s="2"/>
      <c r="C53" s="37" t="s">
        <v>163</v>
      </c>
      <c r="D53" s="38"/>
      <c r="E53" s="34" t="s">
        <v>103</v>
      </c>
      <c r="F53" s="39">
        <v>0</v>
      </c>
      <c r="G53" s="39">
        <v>0</v>
      </c>
      <c r="H53" s="39">
        <v>0</v>
      </c>
      <c r="I53" s="53"/>
      <c r="J53" s="39">
        <v>0</v>
      </c>
      <c r="K53" s="51">
        <v>0</v>
      </c>
      <c r="L53" s="51">
        <v>0</v>
      </c>
      <c r="M53" s="51">
        <v>0</v>
      </c>
      <c r="N53" s="51">
        <v>0</v>
      </c>
      <c r="O53" s="2"/>
    </row>
    <row r="54" spans="2:15">
      <c r="B54" s="2"/>
      <c r="C54" s="37" t="s">
        <v>164</v>
      </c>
      <c r="D54" s="38"/>
      <c r="E54" s="34" t="s">
        <v>103</v>
      </c>
      <c r="F54" s="39">
        <v>0</v>
      </c>
      <c r="G54" s="39">
        <v>0</v>
      </c>
      <c r="H54" s="39">
        <v>0</v>
      </c>
      <c r="I54" s="53"/>
      <c r="J54" s="39">
        <v>0</v>
      </c>
      <c r="K54" s="51">
        <v>0</v>
      </c>
      <c r="L54" s="51">
        <v>0</v>
      </c>
      <c r="M54" s="51">
        <v>0</v>
      </c>
      <c r="N54" s="51">
        <v>0</v>
      </c>
      <c r="O54" s="2"/>
    </row>
    <row r="55" spans="2:15">
      <c r="B55" s="2"/>
      <c r="C55" s="37" t="s">
        <v>165</v>
      </c>
      <c r="D55" s="38"/>
      <c r="E55" s="34" t="s">
        <v>103</v>
      </c>
      <c r="F55" s="39">
        <v>0</v>
      </c>
      <c r="G55" s="39">
        <v>0</v>
      </c>
      <c r="H55" s="39">
        <v>0</v>
      </c>
      <c r="I55" s="53"/>
      <c r="J55" s="39">
        <v>0</v>
      </c>
      <c r="K55" s="51">
        <v>0</v>
      </c>
      <c r="L55" s="51">
        <v>0</v>
      </c>
      <c r="M55" s="51">
        <v>0</v>
      </c>
      <c r="N55" s="51">
        <v>0</v>
      </c>
      <c r="O55" s="2"/>
    </row>
    <row r="56" spans="2:15">
      <c r="B56" s="2"/>
      <c r="C56" s="37" t="s">
        <v>166</v>
      </c>
      <c r="D56" s="38"/>
      <c r="E56" s="34" t="s">
        <v>103</v>
      </c>
      <c r="F56" s="39">
        <v>0</v>
      </c>
      <c r="G56" s="39">
        <v>0</v>
      </c>
      <c r="H56" s="39">
        <v>0</v>
      </c>
      <c r="I56" s="53"/>
      <c r="J56" s="39">
        <v>0</v>
      </c>
      <c r="K56" s="51">
        <v>0</v>
      </c>
      <c r="L56" s="51">
        <v>0</v>
      </c>
      <c r="M56" s="51">
        <v>0</v>
      </c>
      <c r="N56" s="51">
        <v>0</v>
      </c>
      <c r="O56" s="2"/>
    </row>
    <row r="57" spans="2:15">
      <c r="B57" s="2"/>
      <c r="C57" s="37" t="s">
        <v>167</v>
      </c>
      <c r="D57" s="38"/>
      <c r="E57" s="34" t="s">
        <v>103</v>
      </c>
      <c r="F57" s="39">
        <v>0</v>
      </c>
      <c r="G57" s="39">
        <v>0</v>
      </c>
      <c r="H57" s="39">
        <v>0</v>
      </c>
      <c r="I57" s="53"/>
      <c r="J57" s="39">
        <v>0</v>
      </c>
      <c r="K57" s="51">
        <v>0</v>
      </c>
      <c r="L57" s="51">
        <v>0</v>
      </c>
      <c r="M57" s="51">
        <v>0</v>
      </c>
      <c r="N57" s="51">
        <v>0</v>
      </c>
      <c r="O57" s="2"/>
    </row>
    <row r="58" spans="2:15">
      <c r="B58" s="2"/>
      <c r="C58" s="37" t="s">
        <v>168</v>
      </c>
      <c r="D58" s="38"/>
      <c r="E58" s="34" t="s">
        <v>103</v>
      </c>
      <c r="F58" s="39">
        <v>0</v>
      </c>
      <c r="G58" s="39">
        <v>0</v>
      </c>
      <c r="H58" s="39">
        <v>0</v>
      </c>
      <c r="I58" s="53"/>
      <c r="J58" s="39">
        <v>0</v>
      </c>
      <c r="K58" s="51">
        <v>0</v>
      </c>
      <c r="L58" s="51">
        <v>0</v>
      </c>
      <c r="M58" s="51">
        <v>0</v>
      </c>
      <c r="N58" s="51">
        <v>0</v>
      </c>
      <c r="O58" s="2"/>
    </row>
    <row r="59" spans="2:15">
      <c r="B59" s="2"/>
      <c r="C59" s="37" t="s">
        <v>169</v>
      </c>
      <c r="D59" s="38"/>
      <c r="E59" s="34" t="s">
        <v>103</v>
      </c>
      <c r="F59" s="39">
        <v>0</v>
      </c>
      <c r="G59" s="39">
        <v>0</v>
      </c>
      <c r="H59" s="39">
        <v>0</v>
      </c>
      <c r="I59" s="53"/>
      <c r="J59" s="39">
        <v>0</v>
      </c>
      <c r="K59" s="51">
        <v>0</v>
      </c>
      <c r="L59" s="51">
        <v>0</v>
      </c>
      <c r="M59" s="51">
        <v>0</v>
      </c>
      <c r="N59" s="51">
        <v>0</v>
      </c>
      <c r="O59" s="2"/>
    </row>
    <row r="60" spans="2:15">
      <c r="B60" s="2"/>
      <c r="C60" s="37" t="s">
        <v>170</v>
      </c>
      <c r="D60" s="38"/>
      <c r="E60" s="34" t="s">
        <v>103</v>
      </c>
      <c r="F60" s="39">
        <v>0</v>
      </c>
      <c r="G60" s="39">
        <v>0</v>
      </c>
      <c r="H60" s="39">
        <v>0</v>
      </c>
      <c r="I60" s="53"/>
      <c r="J60" s="39">
        <v>0</v>
      </c>
      <c r="K60" s="51">
        <v>0</v>
      </c>
      <c r="L60" s="51">
        <v>0</v>
      </c>
      <c r="M60" s="51">
        <v>0</v>
      </c>
      <c r="N60" s="51">
        <v>0</v>
      </c>
      <c r="O60" s="2"/>
    </row>
    <row r="61" spans="2:15">
      <c r="B61" s="2"/>
      <c r="C61" s="37" t="s">
        <v>171</v>
      </c>
      <c r="D61" s="38"/>
      <c r="E61" s="34" t="s">
        <v>103</v>
      </c>
      <c r="F61" s="39">
        <v>0</v>
      </c>
      <c r="G61" s="39">
        <v>0</v>
      </c>
      <c r="H61" s="39">
        <v>0</v>
      </c>
      <c r="I61" s="53"/>
      <c r="J61" s="39">
        <v>0</v>
      </c>
      <c r="K61" s="51">
        <v>0</v>
      </c>
      <c r="L61" s="51">
        <v>0</v>
      </c>
      <c r="M61" s="51">
        <v>0</v>
      </c>
      <c r="N61" s="51">
        <v>0</v>
      </c>
      <c r="O61" s="2"/>
    </row>
    <row r="62" spans="2:15">
      <c r="B62" s="2"/>
      <c r="C62" s="37" t="s">
        <v>172</v>
      </c>
      <c r="D62" s="38"/>
      <c r="E62" s="34" t="s">
        <v>103</v>
      </c>
      <c r="F62" s="39">
        <v>0</v>
      </c>
      <c r="G62" s="39">
        <v>0</v>
      </c>
      <c r="H62" s="39">
        <v>0</v>
      </c>
      <c r="I62" s="53"/>
      <c r="J62" s="39">
        <v>0</v>
      </c>
      <c r="K62" s="51">
        <v>0</v>
      </c>
      <c r="L62" s="51">
        <v>0</v>
      </c>
      <c r="M62" s="51">
        <v>0</v>
      </c>
      <c r="N62" s="51">
        <v>0</v>
      </c>
      <c r="O62" s="2"/>
    </row>
    <row r="63" spans="2:15">
      <c r="B63" s="2"/>
      <c r="C63" s="37" t="s">
        <v>173</v>
      </c>
      <c r="D63" s="38"/>
      <c r="E63" s="34" t="s">
        <v>103</v>
      </c>
      <c r="F63" s="39">
        <v>0</v>
      </c>
      <c r="G63" s="39">
        <v>0</v>
      </c>
      <c r="H63" s="39">
        <v>0</v>
      </c>
      <c r="I63" s="53"/>
      <c r="J63" s="39">
        <v>0</v>
      </c>
      <c r="K63" s="51">
        <v>0</v>
      </c>
      <c r="L63" s="51">
        <v>0</v>
      </c>
      <c r="M63" s="51">
        <v>0</v>
      </c>
      <c r="N63" s="51">
        <v>0</v>
      </c>
      <c r="O63" s="2"/>
    </row>
    <row r="64" spans="2:15">
      <c r="B64" s="2"/>
      <c r="C64" s="37" t="s">
        <v>174</v>
      </c>
      <c r="D64" s="38"/>
      <c r="E64" s="34" t="s">
        <v>103</v>
      </c>
      <c r="F64" s="39">
        <v>0</v>
      </c>
      <c r="G64" s="39">
        <v>0</v>
      </c>
      <c r="H64" s="39">
        <v>0</v>
      </c>
      <c r="I64" s="53"/>
      <c r="J64" s="39">
        <v>0</v>
      </c>
      <c r="K64" s="51">
        <v>0</v>
      </c>
      <c r="L64" s="51">
        <v>0</v>
      </c>
      <c r="M64" s="51">
        <v>0</v>
      </c>
      <c r="N64" s="51">
        <v>0</v>
      </c>
      <c r="O64" s="2"/>
    </row>
    <row r="65" spans="2:15">
      <c r="B65" s="2"/>
      <c r="C65" s="37" t="s">
        <v>175</v>
      </c>
      <c r="D65" s="38"/>
      <c r="E65" s="34" t="s">
        <v>103</v>
      </c>
      <c r="F65" s="39">
        <v>0</v>
      </c>
      <c r="G65" s="39">
        <v>0</v>
      </c>
      <c r="H65" s="39">
        <v>0</v>
      </c>
      <c r="I65" s="53"/>
      <c r="J65" s="39">
        <v>0</v>
      </c>
      <c r="K65" s="51">
        <v>0</v>
      </c>
      <c r="L65" s="51">
        <v>0</v>
      </c>
      <c r="M65" s="51">
        <v>0</v>
      </c>
      <c r="N65" s="51">
        <v>0</v>
      </c>
      <c r="O65" s="2"/>
    </row>
    <row r="66" spans="2:15">
      <c r="B66" s="2"/>
      <c r="C66" s="37" t="s">
        <v>176</v>
      </c>
      <c r="D66" s="38"/>
      <c r="E66" s="34" t="s">
        <v>103</v>
      </c>
      <c r="F66" s="39">
        <v>0</v>
      </c>
      <c r="G66" s="39">
        <v>0</v>
      </c>
      <c r="H66" s="39">
        <v>0</v>
      </c>
      <c r="I66" s="53"/>
      <c r="J66" s="39">
        <v>0</v>
      </c>
      <c r="K66" s="51">
        <v>0</v>
      </c>
      <c r="L66" s="51">
        <v>0</v>
      </c>
      <c r="M66" s="51">
        <v>0</v>
      </c>
      <c r="N66" s="51">
        <v>0</v>
      </c>
      <c r="O66" s="2"/>
    </row>
    <row r="67" spans="2:15">
      <c r="B67" s="2"/>
      <c r="C67" s="37" t="s">
        <v>177</v>
      </c>
      <c r="D67" s="38"/>
      <c r="E67" s="34" t="s">
        <v>103</v>
      </c>
      <c r="F67" s="39">
        <v>0</v>
      </c>
      <c r="G67" s="39">
        <v>0</v>
      </c>
      <c r="H67" s="39">
        <v>0</v>
      </c>
      <c r="I67" s="53"/>
      <c r="J67" s="39">
        <v>0</v>
      </c>
      <c r="K67" s="51">
        <v>0</v>
      </c>
      <c r="L67" s="51">
        <v>0</v>
      </c>
      <c r="M67" s="51">
        <v>0</v>
      </c>
      <c r="N67" s="51">
        <v>0</v>
      </c>
      <c r="O67" s="2"/>
    </row>
    <row r="68" spans="2:15">
      <c r="B68" s="2"/>
      <c r="C68" s="37" t="s">
        <v>178</v>
      </c>
      <c r="D68" s="38"/>
      <c r="E68" s="34" t="s">
        <v>103</v>
      </c>
      <c r="F68" s="39">
        <v>0</v>
      </c>
      <c r="G68" s="39">
        <v>0</v>
      </c>
      <c r="H68" s="39">
        <v>0</v>
      </c>
      <c r="I68" s="53"/>
      <c r="J68" s="39">
        <v>0</v>
      </c>
      <c r="K68" s="51">
        <v>0</v>
      </c>
      <c r="L68" s="51">
        <v>0</v>
      </c>
      <c r="M68" s="51">
        <v>0</v>
      </c>
      <c r="N68" s="51">
        <v>0</v>
      </c>
      <c r="O68" s="2"/>
    </row>
    <row r="69" spans="2:15">
      <c r="B69" s="2"/>
      <c r="C69" s="37" t="s">
        <v>179</v>
      </c>
      <c r="D69" s="38"/>
      <c r="E69" s="34" t="s">
        <v>103</v>
      </c>
      <c r="F69" s="39">
        <v>0</v>
      </c>
      <c r="G69" s="39">
        <v>0</v>
      </c>
      <c r="H69" s="39">
        <v>0</v>
      </c>
      <c r="I69" s="53"/>
      <c r="J69" s="39">
        <v>0</v>
      </c>
      <c r="K69" s="51">
        <v>0</v>
      </c>
      <c r="L69" s="51">
        <v>0</v>
      </c>
      <c r="M69" s="51">
        <v>0</v>
      </c>
      <c r="N69" s="51">
        <v>0</v>
      </c>
      <c r="O69" s="2"/>
    </row>
    <row r="70" spans="2:15">
      <c r="B70" s="2"/>
      <c r="C70" s="37" t="s">
        <v>180</v>
      </c>
      <c r="D70" s="38"/>
      <c r="E70" s="34" t="s">
        <v>103</v>
      </c>
      <c r="F70" s="39">
        <v>0</v>
      </c>
      <c r="G70" s="39">
        <v>0</v>
      </c>
      <c r="H70" s="39">
        <v>0</v>
      </c>
      <c r="I70" s="53"/>
      <c r="J70" s="39">
        <v>0</v>
      </c>
      <c r="K70" s="51">
        <v>0</v>
      </c>
      <c r="L70" s="51">
        <v>0</v>
      </c>
      <c r="M70" s="51">
        <v>0</v>
      </c>
      <c r="N70" s="51">
        <v>0</v>
      </c>
      <c r="O70" s="2"/>
    </row>
    <row r="71" spans="2:15">
      <c r="B71" s="2"/>
      <c r="C71" s="37" t="s">
        <v>181</v>
      </c>
      <c r="D71" s="38"/>
      <c r="E71" s="34" t="s">
        <v>103</v>
      </c>
      <c r="F71" s="39">
        <v>0</v>
      </c>
      <c r="G71" s="39">
        <v>0</v>
      </c>
      <c r="H71" s="39">
        <v>0</v>
      </c>
      <c r="I71" s="53"/>
      <c r="J71" s="39">
        <v>0</v>
      </c>
      <c r="K71" s="51">
        <v>0</v>
      </c>
      <c r="L71" s="51">
        <v>0</v>
      </c>
      <c r="M71" s="51">
        <v>0</v>
      </c>
      <c r="N71" s="51">
        <v>0</v>
      </c>
      <c r="O71" s="2"/>
    </row>
    <row r="72" spans="2:15">
      <c r="B72" s="2"/>
      <c r="C72" s="37" t="s">
        <v>182</v>
      </c>
      <c r="D72" s="38"/>
      <c r="E72" s="34" t="s">
        <v>103</v>
      </c>
      <c r="F72" s="39">
        <v>0</v>
      </c>
      <c r="G72" s="39">
        <v>0</v>
      </c>
      <c r="H72" s="39">
        <v>0</v>
      </c>
      <c r="I72" s="53"/>
      <c r="J72" s="39">
        <v>0</v>
      </c>
      <c r="K72" s="51">
        <v>0</v>
      </c>
      <c r="L72" s="51">
        <v>0</v>
      </c>
      <c r="M72" s="51">
        <v>0</v>
      </c>
      <c r="N72" s="51">
        <v>0</v>
      </c>
      <c r="O72" s="2"/>
    </row>
    <row r="73" spans="2:15">
      <c r="B73" s="2"/>
      <c r="C73" s="37" t="s">
        <v>183</v>
      </c>
      <c r="D73" s="38"/>
      <c r="E73" s="34" t="s">
        <v>103</v>
      </c>
      <c r="F73" s="39">
        <v>0</v>
      </c>
      <c r="G73" s="39">
        <v>0</v>
      </c>
      <c r="H73" s="39">
        <v>0</v>
      </c>
      <c r="I73" s="53"/>
      <c r="J73" s="39">
        <v>0</v>
      </c>
      <c r="K73" s="51">
        <v>0</v>
      </c>
      <c r="L73" s="51">
        <v>0</v>
      </c>
      <c r="M73" s="51">
        <v>0</v>
      </c>
      <c r="N73" s="51">
        <v>0</v>
      </c>
      <c r="O73" s="2"/>
    </row>
    <row r="74" spans="2:15">
      <c r="B74" s="2"/>
      <c r="C74" s="37" t="s">
        <v>184</v>
      </c>
      <c r="D74" s="38"/>
      <c r="E74" s="34" t="s">
        <v>103</v>
      </c>
      <c r="F74" s="39">
        <v>0</v>
      </c>
      <c r="G74" s="39">
        <v>0</v>
      </c>
      <c r="H74" s="39">
        <v>0</v>
      </c>
      <c r="I74" s="53"/>
      <c r="J74" s="39">
        <v>0</v>
      </c>
      <c r="K74" s="51">
        <v>0</v>
      </c>
      <c r="L74" s="51">
        <v>0</v>
      </c>
      <c r="M74" s="51">
        <v>0</v>
      </c>
      <c r="N74" s="51">
        <v>0</v>
      </c>
      <c r="O74" s="2"/>
    </row>
    <row r="75" spans="2:15">
      <c r="B75" s="2"/>
      <c r="C75" s="37" t="s">
        <v>185</v>
      </c>
      <c r="D75" s="38"/>
      <c r="E75" s="34" t="s">
        <v>103</v>
      </c>
      <c r="F75" s="39">
        <v>0</v>
      </c>
      <c r="G75" s="39">
        <v>0</v>
      </c>
      <c r="H75" s="39">
        <v>0</v>
      </c>
      <c r="I75" s="53"/>
      <c r="J75" s="39">
        <v>0</v>
      </c>
      <c r="K75" s="51">
        <v>0</v>
      </c>
      <c r="L75" s="51">
        <v>0</v>
      </c>
      <c r="M75" s="51">
        <v>0</v>
      </c>
      <c r="N75" s="51">
        <v>0</v>
      </c>
      <c r="O75" s="2"/>
    </row>
    <row r="76" spans="2:15">
      <c r="B76" s="2"/>
      <c r="C76" s="37" t="s">
        <v>186</v>
      </c>
      <c r="D76" s="38"/>
      <c r="E76" s="34" t="s">
        <v>103</v>
      </c>
      <c r="F76" s="39">
        <v>0</v>
      </c>
      <c r="G76" s="39">
        <v>0</v>
      </c>
      <c r="H76" s="39">
        <v>0</v>
      </c>
      <c r="I76" s="53"/>
      <c r="J76" s="39">
        <v>0</v>
      </c>
      <c r="K76" s="51">
        <v>0</v>
      </c>
      <c r="L76" s="51">
        <v>0</v>
      </c>
      <c r="M76" s="51">
        <v>0</v>
      </c>
      <c r="N76" s="51">
        <v>0</v>
      </c>
      <c r="O76" s="2"/>
    </row>
    <row r="77" spans="2:15">
      <c r="B77" s="2"/>
      <c r="C77" s="37" t="s">
        <v>187</v>
      </c>
      <c r="D77" s="38"/>
      <c r="E77" s="34" t="s">
        <v>103</v>
      </c>
      <c r="F77" s="39">
        <v>0</v>
      </c>
      <c r="G77" s="39">
        <v>0</v>
      </c>
      <c r="H77" s="39">
        <v>0</v>
      </c>
      <c r="I77" s="53"/>
      <c r="J77" s="39">
        <v>0</v>
      </c>
      <c r="K77" s="51">
        <v>0</v>
      </c>
      <c r="L77" s="51">
        <v>0</v>
      </c>
      <c r="M77" s="51">
        <v>0</v>
      </c>
      <c r="N77" s="51">
        <v>0</v>
      </c>
      <c r="O77" s="2"/>
    </row>
    <row r="78" spans="2:15">
      <c r="B78" s="2"/>
      <c r="C78" s="37" t="s">
        <v>188</v>
      </c>
      <c r="D78" s="38"/>
      <c r="E78" s="34" t="s">
        <v>103</v>
      </c>
      <c r="F78" s="39">
        <v>0</v>
      </c>
      <c r="G78" s="39">
        <v>0</v>
      </c>
      <c r="H78" s="39">
        <v>0</v>
      </c>
      <c r="I78" s="53"/>
      <c r="J78" s="39">
        <v>0</v>
      </c>
      <c r="K78" s="51">
        <v>0</v>
      </c>
      <c r="L78" s="51">
        <v>0</v>
      </c>
      <c r="M78" s="51">
        <v>0</v>
      </c>
      <c r="N78" s="51">
        <v>0</v>
      </c>
      <c r="O78" s="2"/>
    </row>
    <row r="79" spans="2:15">
      <c r="B79" s="2"/>
      <c r="C79" s="37" t="s">
        <v>189</v>
      </c>
      <c r="D79" s="38"/>
      <c r="E79" s="34" t="s">
        <v>103</v>
      </c>
      <c r="F79" s="39">
        <v>0</v>
      </c>
      <c r="G79" s="39">
        <v>0</v>
      </c>
      <c r="H79" s="39">
        <v>0</v>
      </c>
      <c r="I79" s="53"/>
      <c r="J79" s="39">
        <v>0</v>
      </c>
      <c r="K79" s="51">
        <v>0</v>
      </c>
      <c r="L79" s="51">
        <v>0</v>
      </c>
      <c r="M79" s="51">
        <v>0</v>
      </c>
      <c r="N79" s="51">
        <v>0</v>
      </c>
      <c r="O79" s="2"/>
    </row>
    <row r="80" spans="2:15">
      <c r="B80" s="2"/>
      <c r="C80" s="37" t="s">
        <v>190</v>
      </c>
      <c r="D80" s="38"/>
      <c r="E80" s="34" t="s">
        <v>103</v>
      </c>
      <c r="F80" s="39">
        <v>0</v>
      </c>
      <c r="G80" s="39">
        <v>0</v>
      </c>
      <c r="H80" s="39">
        <v>0</v>
      </c>
      <c r="I80" s="53"/>
      <c r="J80" s="39">
        <v>0</v>
      </c>
      <c r="K80" s="51">
        <v>0</v>
      </c>
      <c r="L80" s="51">
        <v>0</v>
      </c>
      <c r="M80" s="51">
        <v>0</v>
      </c>
      <c r="N80" s="51">
        <v>0</v>
      </c>
      <c r="O80" s="2"/>
    </row>
    <row r="81" spans="2:15">
      <c r="B81" s="2"/>
      <c r="C81" s="37" t="s">
        <v>191</v>
      </c>
      <c r="D81" s="38"/>
      <c r="E81" s="34" t="s">
        <v>103</v>
      </c>
      <c r="F81" s="39">
        <v>0</v>
      </c>
      <c r="G81" s="39">
        <v>0</v>
      </c>
      <c r="H81" s="39">
        <v>0</v>
      </c>
      <c r="I81" s="53"/>
      <c r="J81" s="39">
        <v>0</v>
      </c>
      <c r="K81" s="51">
        <v>0</v>
      </c>
      <c r="L81" s="51">
        <v>0</v>
      </c>
      <c r="M81" s="51">
        <v>0</v>
      </c>
      <c r="N81" s="51">
        <v>0</v>
      </c>
      <c r="O81" s="2"/>
    </row>
    <row r="82" spans="2:15">
      <c r="B82" s="2"/>
      <c r="C82" s="37" t="s">
        <v>192</v>
      </c>
      <c r="D82" s="38"/>
      <c r="E82" s="34" t="s">
        <v>103</v>
      </c>
      <c r="F82" s="39">
        <v>0</v>
      </c>
      <c r="G82" s="39">
        <v>0</v>
      </c>
      <c r="H82" s="39">
        <v>0</v>
      </c>
      <c r="I82" s="53"/>
      <c r="J82" s="39">
        <v>0</v>
      </c>
      <c r="K82" s="51">
        <v>0</v>
      </c>
      <c r="L82" s="51">
        <v>0</v>
      </c>
      <c r="M82" s="51">
        <v>0</v>
      </c>
      <c r="N82" s="51">
        <v>0</v>
      </c>
      <c r="O82" s="2"/>
    </row>
    <row r="83" spans="2:15">
      <c r="B83" s="2"/>
      <c r="C83" s="37" t="s">
        <v>193</v>
      </c>
      <c r="D83" s="38"/>
      <c r="E83" s="34" t="s">
        <v>103</v>
      </c>
      <c r="F83" s="39">
        <v>0</v>
      </c>
      <c r="G83" s="39">
        <v>0</v>
      </c>
      <c r="H83" s="39">
        <v>0</v>
      </c>
      <c r="I83" s="53"/>
      <c r="J83" s="39">
        <v>0</v>
      </c>
      <c r="K83" s="51">
        <v>0</v>
      </c>
      <c r="L83" s="51">
        <v>0</v>
      </c>
      <c r="M83" s="51">
        <v>0</v>
      </c>
      <c r="N83" s="51">
        <v>0</v>
      </c>
      <c r="O83" s="2"/>
    </row>
    <row r="84" spans="2:15">
      <c r="B84" s="2"/>
      <c r="C84" s="37" t="s">
        <v>194</v>
      </c>
      <c r="D84" s="38"/>
      <c r="E84" s="34" t="s">
        <v>103</v>
      </c>
      <c r="F84" s="39">
        <v>0</v>
      </c>
      <c r="G84" s="39">
        <v>0</v>
      </c>
      <c r="H84" s="39">
        <v>0</v>
      </c>
      <c r="I84" s="53"/>
      <c r="J84" s="39">
        <v>0</v>
      </c>
      <c r="K84" s="51">
        <v>0</v>
      </c>
      <c r="L84" s="51">
        <v>0</v>
      </c>
      <c r="M84" s="51">
        <v>0</v>
      </c>
      <c r="N84" s="51">
        <v>0</v>
      </c>
      <c r="O84" s="2"/>
    </row>
    <row r="85" spans="2:15">
      <c r="B85" s="2"/>
      <c r="C85" s="37" t="s">
        <v>195</v>
      </c>
      <c r="D85" s="38"/>
      <c r="E85" s="34" t="s">
        <v>103</v>
      </c>
      <c r="F85" s="39">
        <v>0</v>
      </c>
      <c r="G85" s="39">
        <v>0</v>
      </c>
      <c r="H85" s="39">
        <v>0</v>
      </c>
      <c r="I85" s="53"/>
      <c r="J85" s="39">
        <v>0</v>
      </c>
      <c r="K85" s="51">
        <v>0</v>
      </c>
      <c r="L85" s="51">
        <v>0</v>
      </c>
      <c r="M85" s="51">
        <v>0</v>
      </c>
      <c r="N85" s="51">
        <v>0</v>
      </c>
      <c r="O85" s="2"/>
    </row>
    <row r="86" spans="2:15">
      <c r="B86" s="2"/>
      <c r="C86" s="37" t="s">
        <v>196</v>
      </c>
      <c r="D86" s="38"/>
      <c r="E86" s="34" t="s">
        <v>103</v>
      </c>
      <c r="F86" s="39">
        <v>0</v>
      </c>
      <c r="G86" s="39">
        <v>0</v>
      </c>
      <c r="H86" s="39">
        <v>0</v>
      </c>
      <c r="I86" s="53"/>
      <c r="J86" s="39">
        <v>0</v>
      </c>
      <c r="K86" s="51">
        <v>0</v>
      </c>
      <c r="L86" s="51">
        <v>0</v>
      </c>
      <c r="M86" s="51">
        <v>0</v>
      </c>
      <c r="N86" s="51">
        <v>0</v>
      </c>
      <c r="O86" s="2"/>
    </row>
    <row r="87" spans="2:15">
      <c r="B87" s="2"/>
      <c r="C87" s="37" t="s">
        <v>197</v>
      </c>
      <c r="D87" s="38"/>
      <c r="E87" s="34" t="s">
        <v>103</v>
      </c>
      <c r="F87" s="39">
        <v>0</v>
      </c>
      <c r="G87" s="39">
        <v>0</v>
      </c>
      <c r="H87" s="39">
        <v>0</v>
      </c>
      <c r="I87" s="53"/>
      <c r="J87" s="39">
        <v>0</v>
      </c>
      <c r="K87" s="51">
        <v>0</v>
      </c>
      <c r="L87" s="51">
        <v>0</v>
      </c>
      <c r="M87" s="51">
        <v>0</v>
      </c>
      <c r="N87" s="51">
        <v>0</v>
      </c>
      <c r="O87" s="2"/>
    </row>
    <row r="88" spans="2:15">
      <c r="B88" s="2"/>
      <c r="C88" s="37" t="s">
        <v>198</v>
      </c>
      <c r="D88" s="38"/>
      <c r="E88" s="34" t="s">
        <v>103</v>
      </c>
      <c r="F88" s="39">
        <v>0</v>
      </c>
      <c r="G88" s="39">
        <v>0</v>
      </c>
      <c r="H88" s="39">
        <v>0</v>
      </c>
      <c r="I88" s="53"/>
      <c r="J88" s="39">
        <v>0</v>
      </c>
      <c r="K88" s="51">
        <v>0</v>
      </c>
      <c r="L88" s="51">
        <v>0</v>
      </c>
      <c r="M88" s="51">
        <v>0</v>
      </c>
      <c r="N88" s="51">
        <v>0</v>
      </c>
      <c r="O88" s="2"/>
    </row>
    <row r="89" spans="2:15">
      <c r="B89" s="2"/>
      <c r="C89" s="37" t="s">
        <v>199</v>
      </c>
      <c r="D89" s="38"/>
      <c r="E89" s="34" t="s">
        <v>103</v>
      </c>
      <c r="F89" s="39">
        <v>0</v>
      </c>
      <c r="G89" s="39">
        <v>0</v>
      </c>
      <c r="H89" s="39">
        <v>0</v>
      </c>
      <c r="I89" s="53"/>
      <c r="J89" s="39">
        <v>0</v>
      </c>
      <c r="K89" s="51">
        <v>0</v>
      </c>
      <c r="L89" s="51">
        <v>0</v>
      </c>
      <c r="M89" s="51">
        <v>0</v>
      </c>
      <c r="N89" s="51">
        <v>0</v>
      </c>
      <c r="O89" s="2"/>
    </row>
    <row r="90" spans="2:15">
      <c r="B90" s="2"/>
      <c r="C90" s="37" t="s">
        <v>200</v>
      </c>
      <c r="D90" s="38"/>
      <c r="E90" s="34" t="s">
        <v>103</v>
      </c>
      <c r="F90" s="39">
        <v>0</v>
      </c>
      <c r="G90" s="39">
        <v>0</v>
      </c>
      <c r="H90" s="39">
        <v>0</v>
      </c>
      <c r="I90" s="53"/>
      <c r="J90" s="39">
        <v>0</v>
      </c>
      <c r="K90" s="51">
        <v>0</v>
      </c>
      <c r="L90" s="51">
        <v>0</v>
      </c>
      <c r="M90" s="51">
        <v>0</v>
      </c>
      <c r="N90" s="51">
        <v>0</v>
      </c>
      <c r="O90" s="2"/>
    </row>
    <row r="91" spans="2:15">
      <c r="B91" s="2"/>
      <c r="C91" s="37" t="s">
        <v>201</v>
      </c>
      <c r="D91" s="38"/>
      <c r="E91" s="34" t="s">
        <v>103</v>
      </c>
      <c r="F91" s="39">
        <v>0</v>
      </c>
      <c r="G91" s="39">
        <v>0</v>
      </c>
      <c r="H91" s="39">
        <v>0</v>
      </c>
      <c r="I91" s="53"/>
      <c r="J91" s="39">
        <v>0</v>
      </c>
      <c r="K91" s="51">
        <v>0</v>
      </c>
      <c r="L91" s="51">
        <v>0</v>
      </c>
      <c r="M91" s="51">
        <v>0</v>
      </c>
      <c r="N91" s="51">
        <v>0</v>
      </c>
      <c r="O91" s="2"/>
    </row>
    <row r="92" spans="2:15">
      <c r="B92" s="2"/>
      <c r="C92" s="37" t="s">
        <v>202</v>
      </c>
      <c r="D92" s="38"/>
      <c r="E92" s="34" t="s">
        <v>103</v>
      </c>
      <c r="F92" s="39">
        <v>0</v>
      </c>
      <c r="G92" s="39">
        <v>0</v>
      </c>
      <c r="H92" s="39">
        <v>0</v>
      </c>
      <c r="I92" s="53"/>
      <c r="J92" s="39">
        <v>0</v>
      </c>
      <c r="K92" s="51">
        <v>0</v>
      </c>
      <c r="L92" s="51">
        <v>0</v>
      </c>
      <c r="M92" s="51">
        <v>0</v>
      </c>
      <c r="N92" s="51">
        <v>0</v>
      </c>
      <c r="O92" s="2"/>
    </row>
    <row r="93" spans="2:15">
      <c r="B93" s="2"/>
      <c r="C93" s="37" t="s">
        <v>203</v>
      </c>
      <c r="D93" s="38"/>
      <c r="E93" s="34" t="s">
        <v>103</v>
      </c>
      <c r="F93" s="39">
        <v>0</v>
      </c>
      <c r="G93" s="39">
        <v>0</v>
      </c>
      <c r="H93" s="39">
        <v>0</v>
      </c>
      <c r="I93" s="53"/>
      <c r="J93" s="39">
        <v>0</v>
      </c>
      <c r="K93" s="51">
        <v>0</v>
      </c>
      <c r="L93" s="51">
        <v>0</v>
      </c>
      <c r="M93" s="51">
        <v>0</v>
      </c>
      <c r="N93" s="51">
        <v>0</v>
      </c>
      <c r="O93" s="2"/>
    </row>
    <row r="94" spans="2:15">
      <c r="B94" s="2"/>
      <c r="C94" s="37" t="s">
        <v>204</v>
      </c>
      <c r="D94" s="38"/>
      <c r="E94" s="34" t="s">
        <v>103</v>
      </c>
      <c r="F94" s="39">
        <v>0</v>
      </c>
      <c r="G94" s="39">
        <v>0</v>
      </c>
      <c r="H94" s="39">
        <v>0</v>
      </c>
      <c r="I94" s="53"/>
      <c r="J94" s="39">
        <v>0</v>
      </c>
      <c r="K94" s="51">
        <v>0</v>
      </c>
      <c r="L94" s="51">
        <v>0</v>
      </c>
      <c r="M94" s="51">
        <v>0</v>
      </c>
      <c r="N94" s="51">
        <v>0</v>
      </c>
      <c r="O94" s="2"/>
    </row>
    <row r="95" spans="2:15">
      <c r="B95" s="2"/>
      <c r="C95" s="37" t="s">
        <v>205</v>
      </c>
      <c r="D95" s="38"/>
      <c r="E95" s="34" t="s">
        <v>103</v>
      </c>
      <c r="F95" s="39">
        <v>0</v>
      </c>
      <c r="G95" s="39">
        <v>0</v>
      </c>
      <c r="H95" s="39">
        <v>0</v>
      </c>
      <c r="I95" s="53"/>
      <c r="J95" s="39">
        <v>0</v>
      </c>
      <c r="K95" s="51">
        <v>0</v>
      </c>
      <c r="L95" s="51">
        <v>0</v>
      </c>
      <c r="M95" s="51">
        <v>0</v>
      </c>
      <c r="N95" s="51">
        <v>0</v>
      </c>
      <c r="O95" s="2"/>
    </row>
    <row r="96" spans="2:15">
      <c r="B96" s="2"/>
      <c r="C96" s="37" t="s">
        <v>206</v>
      </c>
      <c r="D96" s="38"/>
      <c r="E96" s="34" t="s">
        <v>103</v>
      </c>
      <c r="F96" s="39">
        <v>0</v>
      </c>
      <c r="G96" s="39">
        <v>0</v>
      </c>
      <c r="H96" s="39">
        <v>0</v>
      </c>
      <c r="I96" s="53"/>
      <c r="J96" s="39">
        <v>0</v>
      </c>
      <c r="K96" s="51">
        <v>0</v>
      </c>
      <c r="L96" s="51">
        <v>0</v>
      </c>
      <c r="M96" s="51">
        <v>0</v>
      </c>
      <c r="N96" s="51">
        <v>0</v>
      </c>
      <c r="O96" s="2"/>
    </row>
    <row r="97" spans="2:15">
      <c r="B97" s="2"/>
      <c r="C97" s="37" t="s">
        <v>207</v>
      </c>
      <c r="D97" s="38"/>
      <c r="E97" s="34" t="s">
        <v>103</v>
      </c>
      <c r="F97" s="39">
        <v>0</v>
      </c>
      <c r="G97" s="39">
        <v>0</v>
      </c>
      <c r="H97" s="39">
        <v>0</v>
      </c>
      <c r="I97" s="53"/>
      <c r="J97" s="39">
        <v>0</v>
      </c>
      <c r="K97" s="51">
        <v>0</v>
      </c>
      <c r="L97" s="51">
        <v>0</v>
      </c>
      <c r="M97" s="51">
        <v>0</v>
      </c>
      <c r="N97" s="51">
        <v>0</v>
      </c>
      <c r="O97" s="2"/>
    </row>
    <row r="98" spans="2:15">
      <c r="B98" s="2"/>
      <c r="C98" s="37" t="s">
        <v>208</v>
      </c>
      <c r="D98" s="38"/>
      <c r="E98" s="34" t="s">
        <v>103</v>
      </c>
      <c r="F98" s="39">
        <v>0</v>
      </c>
      <c r="G98" s="39">
        <v>0</v>
      </c>
      <c r="H98" s="39">
        <v>0</v>
      </c>
      <c r="I98" s="53"/>
      <c r="J98" s="39">
        <v>0</v>
      </c>
      <c r="K98" s="51">
        <v>0</v>
      </c>
      <c r="L98" s="51">
        <v>0</v>
      </c>
      <c r="M98" s="51">
        <v>0</v>
      </c>
      <c r="N98" s="51">
        <v>0</v>
      </c>
      <c r="O98" s="2"/>
    </row>
    <row r="99" spans="2:15">
      <c r="B99" s="2"/>
      <c r="C99" s="37" t="s">
        <v>209</v>
      </c>
      <c r="D99" s="38"/>
      <c r="E99" s="34" t="s">
        <v>103</v>
      </c>
      <c r="F99" s="39">
        <v>0</v>
      </c>
      <c r="G99" s="39">
        <v>0</v>
      </c>
      <c r="H99" s="39">
        <v>0</v>
      </c>
      <c r="I99" s="53"/>
      <c r="J99" s="39">
        <v>0</v>
      </c>
      <c r="K99" s="51">
        <v>0</v>
      </c>
      <c r="L99" s="51">
        <v>0</v>
      </c>
      <c r="M99" s="51">
        <v>0</v>
      </c>
      <c r="N99" s="51">
        <v>0</v>
      </c>
      <c r="O99" s="2"/>
    </row>
    <row r="100" spans="2:15">
      <c r="B100" s="2"/>
      <c r="C100" s="37" t="s">
        <v>210</v>
      </c>
      <c r="D100" s="38"/>
      <c r="E100" s="34" t="s">
        <v>103</v>
      </c>
      <c r="F100" s="39">
        <v>0</v>
      </c>
      <c r="G100" s="39">
        <v>0</v>
      </c>
      <c r="H100" s="39">
        <v>0</v>
      </c>
      <c r="I100" s="53"/>
      <c r="J100" s="39">
        <v>0</v>
      </c>
      <c r="K100" s="51">
        <v>0</v>
      </c>
      <c r="L100" s="51">
        <v>0</v>
      </c>
      <c r="M100" s="51">
        <v>0</v>
      </c>
      <c r="N100" s="51">
        <v>0</v>
      </c>
      <c r="O100" s="2"/>
    </row>
    <row r="101" spans="2:15">
      <c r="B101" s="2"/>
      <c r="C101" s="37" t="s">
        <v>211</v>
      </c>
      <c r="D101" s="38"/>
      <c r="E101" s="34" t="s">
        <v>103</v>
      </c>
      <c r="F101" s="39">
        <v>0</v>
      </c>
      <c r="G101" s="39">
        <v>0</v>
      </c>
      <c r="H101" s="39">
        <v>0</v>
      </c>
      <c r="I101" s="53"/>
      <c r="J101" s="39">
        <v>0</v>
      </c>
      <c r="K101" s="51">
        <v>0</v>
      </c>
      <c r="L101" s="51">
        <v>0</v>
      </c>
      <c r="M101" s="51">
        <v>0</v>
      </c>
      <c r="N101" s="51">
        <v>0</v>
      </c>
      <c r="O101" s="2"/>
    </row>
    <row r="102" spans="2:15">
      <c r="B102" s="2"/>
      <c r="C102" s="37" t="s">
        <v>212</v>
      </c>
      <c r="D102" s="38"/>
      <c r="E102" s="34" t="s">
        <v>103</v>
      </c>
      <c r="F102" s="39">
        <v>0</v>
      </c>
      <c r="G102" s="39">
        <v>0</v>
      </c>
      <c r="H102" s="39">
        <v>0</v>
      </c>
      <c r="I102" s="53"/>
      <c r="J102" s="39">
        <v>0</v>
      </c>
      <c r="K102" s="51">
        <v>0</v>
      </c>
      <c r="L102" s="51">
        <v>0</v>
      </c>
      <c r="M102" s="51">
        <v>0</v>
      </c>
      <c r="N102" s="51">
        <v>0</v>
      </c>
      <c r="O102" s="2"/>
    </row>
    <row r="103" spans="2:15">
      <c r="B103" s="2"/>
      <c r="C103" s="37" t="s">
        <v>213</v>
      </c>
      <c r="D103" s="38"/>
      <c r="E103" s="34" t="s">
        <v>103</v>
      </c>
      <c r="F103" s="39">
        <v>0</v>
      </c>
      <c r="G103" s="39">
        <v>0</v>
      </c>
      <c r="H103" s="39">
        <v>0</v>
      </c>
      <c r="I103" s="53"/>
      <c r="J103" s="39">
        <v>0</v>
      </c>
      <c r="K103" s="51">
        <v>0</v>
      </c>
      <c r="L103" s="51">
        <v>0</v>
      </c>
      <c r="M103" s="51">
        <v>0</v>
      </c>
      <c r="N103" s="51">
        <v>0</v>
      </c>
      <c r="O103" s="2"/>
    </row>
    <row r="104" spans="2:15">
      <c r="B104" s="2"/>
      <c r="C104" s="37" t="s">
        <v>214</v>
      </c>
      <c r="D104" s="38"/>
      <c r="E104" s="34" t="s">
        <v>103</v>
      </c>
      <c r="F104" s="39">
        <v>0</v>
      </c>
      <c r="G104" s="39">
        <v>0</v>
      </c>
      <c r="H104" s="39">
        <v>0</v>
      </c>
      <c r="I104" s="53"/>
      <c r="J104" s="39">
        <v>0</v>
      </c>
      <c r="K104" s="51">
        <v>0</v>
      </c>
      <c r="L104" s="51">
        <v>0</v>
      </c>
      <c r="M104" s="51">
        <v>0</v>
      </c>
      <c r="N104" s="51">
        <v>0</v>
      </c>
      <c r="O104" s="2"/>
    </row>
    <row r="105" spans="2:15">
      <c r="B105" s="2"/>
      <c r="C105" s="37" t="s">
        <v>215</v>
      </c>
      <c r="D105" s="38"/>
      <c r="E105" s="34" t="s">
        <v>103</v>
      </c>
      <c r="F105" s="39">
        <v>0</v>
      </c>
      <c r="G105" s="39">
        <v>0</v>
      </c>
      <c r="H105" s="39">
        <v>0</v>
      </c>
      <c r="I105" s="53"/>
      <c r="J105" s="39">
        <v>0</v>
      </c>
      <c r="K105" s="51">
        <v>0</v>
      </c>
      <c r="L105" s="51">
        <v>0</v>
      </c>
      <c r="M105" s="51">
        <v>0</v>
      </c>
      <c r="N105" s="51">
        <v>0</v>
      </c>
      <c r="O105" s="2"/>
    </row>
    <row r="106" spans="2:15">
      <c r="B106" s="2"/>
      <c r="C106" s="37" t="s">
        <v>216</v>
      </c>
      <c r="D106" s="38"/>
      <c r="E106" s="34" t="s">
        <v>103</v>
      </c>
      <c r="F106" s="39">
        <v>0</v>
      </c>
      <c r="G106" s="39">
        <v>0</v>
      </c>
      <c r="H106" s="39">
        <v>0</v>
      </c>
      <c r="I106" s="53"/>
      <c r="J106" s="39">
        <v>0</v>
      </c>
      <c r="K106" s="51">
        <v>0</v>
      </c>
      <c r="L106" s="51">
        <v>0</v>
      </c>
      <c r="M106" s="51">
        <v>0</v>
      </c>
      <c r="N106" s="51">
        <v>0</v>
      </c>
      <c r="O106" s="2"/>
    </row>
    <row r="107" spans="2:15">
      <c r="B107" s="2"/>
      <c r="C107" s="37" t="s">
        <v>217</v>
      </c>
      <c r="D107" s="38"/>
      <c r="E107" s="34" t="s">
        <v>103</v>
      </c>
      <c r="F107" s="39">
        <v>0</v>
      </c>
      <c r="G107" s="39">
        <v>0</v>
      </c>
      <c r="H107" s="39">
        <v>0</v>
      </c>
      <c r="I107" s="53"/>
      <c r="J107" s="39">
        <v>0</v>
      </c>
      <c r="K107" s="51">
        <v>0</v>
      </c>
      <c r="L107" s="51">
        <v>0</v>
      </c>
      <c r="M107" s="51">
        <v>0</v>
      </c>
      <c r="N107" s="51">
        <v>0</v>
      </c>
      <c r="O107" s="2"/>
    </row>
    <row r="108" spans="2:15">
      <c r="B108" s="2"/>
      <c r="C108" s="37" t="s">
        <v>218</v>
      </c>
      <c r="D108" s="38"/>
      <c r="E108" s="34" t="s">
        <v>103</v>
      </c>
      <c r="F108" s="39">
        <v>0</v>
      </c>
      <c r="G108" s="39">
        <v>0</v>
      </c>
      <c r="H108" s="39">
        <v>0</v>
      </c>
      <c r="I108" s="53"/>
      <c r="J108" s="39">
        <v>0</v>
      </c>
      <c r="K108" s="51">
        <v>0</v>
      </c>
      <c r="L108" s="51">
        <v>0</v>
      </c>
      <c r="M108" s="51">
        <v>0</v>
      </c>
      <c r="N108" s="51">
        <v>0</v>
      </c>
      <c r="O108" s="2"/>
    </row>
    <row r="109" spans="2:15">
      <c r="B109" s="2"/>
      <c r="C109" s="37" t="s">
        <v>219</v>
      </c>
      <c r="D109" s="38"/>
      <c r="E109" s="34" t="s">
        <v>103</v>
      </c>
      <c r="F109" s="39">
        <v>0</v>
      </c>
      <c r="G109" s="39">
        <v>0</v>
      </c>
      <c r="H109" s="39">
        <v>0</v>
      </c>
      <c r="I109" s="53"/>
      <c r="J109" s="39">
        <v>0</v>
      </c>
      <c r="K109" s="51">
        <v>0</v>
      </c>
      <c r="L109" s="51">
        <v>0</v>
      </c>
      <c r="M109" s="51">
        <v>0</v>
      </c>
      <c r="N109" s="51">
        <v>0</v>
      </c>
      <c r="O109" s="2"/>
    </row>
    <row r="110" spans="2:15">
      <c r="B110" s="2"/>
      <c r="C110" s="37" t="s">
        <v>220</v>
      </c>
      <c r="D110" s="38"/>
      <c r="E110" s="34" t="s">
        <v>103</v>
      </c>
      <c r="F110" s="39">
        <v>0</v>
      </c>
      <c r="G110" s="39">
        <v>0</v>
      </c>
      <c r="H110" s="39">
        <v>0</v>
      </c>
      <c r="I110" s="53"/>
      <c r="J110" s="39">
        <v>0</v>
      </c>
      <c r="K110" s="51">
        <v>0</v>
      </c>
      <c r="L110" s="51">
        <v>0</v>
      </c>
      <c r="M110" s="51">
        <v>0</v>
      </c>
      <c r="N110" s="51">
        <v>0</v>
      </c>
      <c r="O110" s="2"/>
    </row>
    <row r="111" spans="2:15">
      <c r="B111" s="2"/>
      <c r="C111" s="37" t="s">
        <v>221</v>
      </c>
      <c r="D111" s="38"/>
      <c r="E111" s="34" t="s">
        <v>103</v>
      </c>
      <c r="F111" s="39">
        <v>0</v>
      </c>
      <c r="G111" s="39">
        <v>0</v>
      </c>
      <c r="H111" s="39">
        <v>0</v>
      </c>
      <c r="I111" s="53"/>
      <c r="J111" s="39">
        <v>0</v>
      </c>
      <c r="K111" s="51">
        <v>0</v>
      </c>
      <c r="L111" s="51">
        <v>0</v>
      </c>
      <c r="M111" s="51">
        <v>0</v>
      </c>
      <c r="N111" s="51">
        <v>0</v>
      </c>
      <c r="O111" s="2"/>
    </row>
    <row r="112" spans="2:15">
      <c r="B112" s="2"/>
      <c r="C112" s="37" t="s">
        <v>222</v>
      </c>
      <c r="D112" s="38"/>
      <c r="E112" s="34" t="s">
        <v>103</v>
      </c>
      <c r="F112" s="39">
        <v>0</v>
      </c>
      <c r="G112" s="39">
        <v>0</v>
      </c>
      <c r="H112" s="39">
        <v>0</v>
      </c>
      <c r="I112" s="53"/>
      <c r="J112" s="39">
        <v>0</v>
      </c>
      <c r="K112" s="51">
        <v>0</v>
      </c>
      <c r="L112" s="51">
        <v>0</v>
      </c>
      <c r="M112" s="51">
        <v>0</v>
      </c>
      <c r="N112" s="51">
        <v>0</v>
      </c>
      <c r="O112" s="2"/>
    </row>
    <row r="113" spans="1:15">
      <c r="B113" s="2"/>
      <c r="C113" s="37" t="s">
        <v>223</v>
      </c>
      <c r="D113" s="38"/>
      <c r="E113" s="34" t="s">
        <v>103</v>
      </c>
      <c r="F113" s="39">
        <v>0</v>
      </c>
      <c r="G113" s="39">
        <v>0</v>
      </c>
      <c r="H113" s="39">
        <v>0</v>
      </c>
      <c r="I113" s="53"/>
      <c r="J113" s="39">
        <v>0</v>
      </c>
      <c r="K113" s="51">
        <v>0</v>
      </c>
      <c r="L113" s="51">
        <v>0</v>
      </c>
      <c r="M113" s="51">
        <v>0</v>
      </c>
      <c r="N113" s="51">
        <v>0</v>
      </c>
      <c r="O113" s="2"/>
    </row>
    <row r="114" spans="1:15" s="14" customFormat="1">
      <c r="B114" s="5"/>
      <c r="C114" s="49" t="s">
        <v>224</v>
      </c>
      <c r="D114" s="50"/>
      <c r="E114" s="34" t="s">
        <v>103</v>
      </c>
      <c r="F114" s="39">
        <v>0</v>
      </c>
      <c r="G114" s="39">
        <v>0</v>
      </c>
      <c r="H114" s="39">
        <v>0</v>
      </c>
      <c r="I114" s="53"/>
      <c r="J114" s="39">
        <v>0</v>
      </c>
      <c r="K114" s="51">
        <v>0</v>
      </c>
      <c r="L114" s="51">
        <v>0</v>
      </c>
      <c r="M114" s="51">
        <v>0</v>
      </c>
      <c r="N114" s="51">
        <v>0</v>
      </c>
      <c r="O114" s="5"/>
    </row>
    <row r="115" spans="1:15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39">
        <v>0</v>
      </c>
      <c r="G115" s="39">
        <v>0</v>
      </c>
      <c r="H115" s="39">
        <v>0</v>
      </c>
      <c r="I115" s="53"/>
      <c r="J115" s="39">
        <v>0</v>
      </c>
      <c r="K115" s="51">
        <v>0</v>
      </c>
      <c r="L115" s="51">
        <v>0</v>
      </c>
      <c r="M115" s="51">
        <v>0</v>
      </c>
      <c r="N115" s="51">
        <v>0</v>
      </c>
      <c r="O115" s="5"/>
    </row>
    <row r="116" spans="1:15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</sheetData>
  <sheetProtection sheet="1" formatColumns="0" formatRows="0" insertRows="0" deleteRows="0" selectLockedCells="1"/>
  <mergeCells count="1116">
    <mergeCell ref="C7:N7"/>
    <mergeCell ref="C9:N9"/>
    <mergeCell ref="C10:N10"/>
    <mergeCell ref="C11:N11"/>
    <mergeCell ref="C13:N13"/>
    <mergeCell ref="N14:N15"/>
    <mergeCell ref="C16:D16"/>
    <mergeCell ref="E16"/>
    <mergeCell ref="F16"/>
    <mergeCell ref="G16"/>
    <mergeCell ref="H16"/>
    <mergeCell ref="I16"/>
    <mergeCell ref="J16"/>
    <mergeCell ref="K16"/>
    <mergeCell ref="L16"/>
    <mergeCell ref="M16"/>
    <mergeCell ref="N16"/>
    <mergeCell ref="I14:I15"/>
    <mergeCell ref="J14:J15"/>
    <mergeCell ref="K14:K15"/>
    <mergeCell ref="L14:L15"/>
    <mergeCell ref="M14:M15"/>
    <mergeCell ref="C14:D15"/>
    <mergeCell ref="E14:E15"/>
    <mergeCell ref="F14:F15"/>
    <mergeCell ref="G14:G15"/>
    <mergeCell ref="H14:H15"/>
    <mergeCell ref="N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N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I19"/>
    <mergeCell ref="J19"/>
    <mergeCell ref="K19"/>
    <mergeCell ref="L19"/>
    <mergeCell ref="M19"/>
    <mergeCell ref="C19:D19"/>
    <mergeCell ref="E19"/>
    <mergeCell ref="F19"/>
    <mergeCell ref="G19"/>
    <mergeCell ref="H19"/>
    <mergeCell ref="N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N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I23"/>
    <mergeCell ref="J23"/>
    <mergeCell ref="K23"/>
    <mergeCell ref="L23"/>
    <mergeCell ref="M23"/>
    <mergeCell ref="C23:D23"/>
    <mergeCell ref="E23"/>
    <mergeCell ref="F23"/>
    <mergeCell ref="G23"/>
    <mergeCell ref="H23"/>
    <mergeCell ref="N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N27"/>
    <mergeCell ref="C28:D28"/>
    <mergeCell ref="E28"/>
    <mergeCell ref="F28"/>
    <mergeCell ref="G28"/>
    <mergeCell ref="H28"/>
    <mergeCell ref="I28"/>
    <mergeCell ref="J28"/>
    <mergeCell ref="K28"/>
    <mergeCell ref="L28"/>
    <mergeCell ref="M28"/>
    <mergeCell ref="N28"/>
    <mergeCell ref="I27"/>
    <mergeCell ref="J27"/>
    <mergeCell ref="K27"/>
    <mergeCell ref="L27"/>
    <mergeCell ref="M27"/>
    <mergeCell ref="C27:D27"/>
    <mergeCell ref="E27"/>
    <mergeCell ref="F27"/>
    <mergeCell ref="G27"/>
    <mergeCell ref="H27"/>
    <mergeCell ref="N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N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I31"/>
    <mergeCell ref="J31"/>
    <mergeCell ref="K31"/>
    <mergeCell ref="L31"/>
    <mergeCell ref="M31"/>
    <mergeCell ref="C31:D31"/>
    <mergeCell ref="E31"/>
    <mergeCell ref="F31"/>
    <mergeCell ref="G31"/>
    <mergeCell ref="H31"/>
    <mergeCell ref="N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N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I35"/>
    <mergeCell ref="J35"/>
    <mergeCell ref="K35"/>
    <mergeCell ref="L35"/>
    <mergeCell ref="M35"/>
    <mergeCell ref="C35:D35"/>
    <mergeCell ref="E35"/>
    <mergeCell ref="F35"/>
    <mergeCell ref="G35"/>
    <mergeCell ref="H35"/>
    <mergeCell ref="N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N39"/>
    <mergeCell ref="C40:D40"/>
    <mergeCell ref="E40"/>
    <mergeCell ref="F40"/>
    <mergeCell ref="G40"/>
    <mergeCell ref="H40"/>
    <mergeCell ref="I40"/>
    <mergeCell ref="J40"/>
    <mergeCell ref="K40"/>
    <mergeCell ref="L40"/>
    <mergeCell ref="M40"/>
    <mergeCell ref="N40"/>
    <mergeCell ref="I39"/>
    <mergeCell ref="J39"/>
    <mergeCell ref="K39"/>
    <mergeCell ref="L39"/>
    <mergeCell ref="M39"/>
    <mergeCell ref="C39:D39"/>
    <mergeCell ref="E39"/>
    <mergeCell ref="F39"/>
    <mergeCell ref="G39"/>
    <mergeCell ref="H39"/>
    <mergeCell ref="N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N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I43"/>
    <mergeCell ref="J43"/>
    <mergeCell ref="K43"/>
    <mergeCell ref="L43"/>
    <mergeCell ref="M43"/>
    <mergeCell ref="C43:D43"/>
    <mergeCell ref="E43"/>
    <mergeCell ref="F43"/>
    <mergeCell ref="G43"/>
    <mergeCell ref="H43"/>
    <mergeCell ref="N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N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I47"/>
    <mergeCell ref="J47"/>
    <mergeCell ref="K47"/>
    <mergeCell ref="L47"/>
    <mergeCell ref="M47"/>
    <mergeCell ref="C47:D47"/>
    <mergeCell ref="E47"/>
    <mergeCell ref="F47"/>
    <mergeCell ref="G47"/>
    <mergeCell ref="H47"/>
    <mergeCell ref="N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N51"/>
    <mergeCell ref="C52:D52"/>
    <mergeCell ref="E52"/>
    <mergeCell ref="F52"/>
    <mergeCell ref="G52"/>
    <mergeCell ref="H52"/>
    <mergeCell ref="I52"/>
    <mergeCell ref="J52"/>
    <mergeCell ref="K52"/>
    <mergeCell ref="L52"/>
    <mergeCell ref="M52"/>
    <mergeCell ref="N52"/>
    <mergeCell ref="I51"/>
    <mergeCell ref="J51"/>
    <mergeCell ref="K51"/>
    <mergeCell ref="L51"/>
    <mergeCell ref="M51"/>
    <mergeCell ref="C51:D51"/>
    <mergeCell ref="E51"/>
    <mergeCell ref="F51"/>
    <mergeCell ref="G51"/>
    <mergeCell ref="H51"/>
    <mergeCell ref="N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N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I55"/>
    <mergeCell ref="J55"/>
    <mergeCell ref="K55"/>
    <mergeCell ref="L55"/>
    <mergeCell ref="M55"/>
    <mergeCell ref="C55:D55"/>
    <mergeCell ref="E55"/>
    <mergeCell ref="F55"/>
    <mergeCell ref="G55"/>
    <mergeCell ref="H55"/>
    <mergeCell ref="N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N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I59"/>
    <mergeCell ref="J59"/>
    <mergeCell ref="K59"/>
    <mergeCell ref="L59"/>
    <mergeCell ref="M59"/>
    <mergeCell ref="C59:D59"/>
    <mergeCell ref="E59"/>
    <mergeCell ref="F59"/>
    <mergeCell ref="G59"/>
    <mergeCell ref="H59"/>
    <mergeCell ref="N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N63"/>
    <mergeCell ref="C64:D64"/>
    <mergeCell ref="E64"/>
    <mergeCell ref="F64"/>
    <mergeCell ref="G64"/>
    <mergeCell ref="H64"/>
    <mergeCell ref="I64"/>
    <mergeCell ref="J64"/>
    <mergeCell ref="K64"/>
    <mergeCell ref="L64"/>
    <mergeCell ref="M64"/>
    <mergeCell ref="N64"/>
    <mergeCell ref="I63"/>
    <mergeCell ref="J63"/>
    <mergeCell ref="K63"/>
    <mergeCell ref="L63"/>
    <mergeCell ref="M63"/>
    <mergeCell ref="C63:D63"/>
    <mergeCell ref="E63"/>
    <mergeCell ref="F63"/>
    <mergeCell ref="G63"/>
    <mergeCell ref="H63"/>
    <mergeCell ref="N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N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I67"/>
    <mergeCell ref="J67"/>
    <mergeCell ref="K67"/>
    <mergeCell ref="L67"/>
    <mergeCell ref="M67"/>
    <mergeCell ref="C67:D67"/>
    <mergeCell ref="E67"/>
    <mergeCell ref="F67"/>
    <mergeCell ref="G67"/>
    <mergeCell ref="H67"/>
    <mergeCell ref="N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N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I71"/>
    <mergeCell ref="J71"/>
    <mergeCell ref="K71"/>
    <mergeCell ref="L71"/>
    <mergeCell ref="M71"/>
    <mergeCell ref="C71:D71"/>
    <mergeCell ref="E71"/>
    <mergeCell ref="F71"/>
    <mergeCell ref="G71"/>
    <mergeCell ref="H71"/>
    <mergeCell ref="N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N75"/>
    <mergeCell ref="C76:D76"/>
    <mergeCell ref="E76"/>
    <mergeCell ref="F76"/>
    <mergeCell ref="G76"/>
    <mergeCell ref="H76"/>
    <mergeCell ref="I76"/>
    <mergeCell ref="J76"/>
    <mergeCell ref="K76"/>
    <mergeCell ref="L76"/>
    <mergeCell ref="M76"/>
    <mergeCell ref="N76"/>
    <mergeCell ref="I75"/>
    <mergeCell ref="J75"/>
    <mergeCell ref="K75"/>
    <mergeCell ref="L75"/>
    <mergeCell ref="M75"/>
    <mergeCell ref="C75:D75"/>
    <mergeCell ref="E75"/>
    <mergeCell ref="F75"/>
    <mergeCell ref="G75"/>
    <mergeCell ref="H75"/>
    <mergeCell ref="N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N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I79"/>
    <mergeCell ref="J79"/>
    <mergeCell ref="K79"/>
    <mergeCell ref="L79"/>
    <mergeCell ref="M79"/>
    <mergeCell ref="C79:D79"/>
    <mergeCell ref="E79"/>
    <mergeCell ref="F79"/>
    <mergeCell ref="G79"/>
    <mergeCell ref="H79"/>
    <mergeCell ref="N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N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I83"/>
    <mergeCell ref="J83"/>
    <mergeCell ref="K83"/>
    <mergeCell ref="L83"/>
    <mergeCell ref="M83"/>
    <mergeCell ref="C83:D83"/>
    <mergeCell ref="E83"/>
    <mergeCell ref="F83"/>
    <mergeCell ref="G83"/>
    <mergeCell ref="H83"/>
    <mergeCell ref="N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N87"/>
    <mergeCell ref="C88:D88"/>
    <mergeCell ref="E88"/>
    <mergeCell ref="F88"/>
    <mergeCell ref="G88"/>
    <mergeCell ref="H88"/>
    <mergeCell ref="I88"/>
    <mergeCell ref="J88"/>
    <mergeCell ref="K88"/>
    <mergeCell ref="L88"/>
    <mergeCell ref="M88"/>
    <mergeCell ref="N88"/>
    <mergeCell ref="I87"/>
    <mergeCell ref="J87"/>
    <mergeCell ref="K87"/>
    <mergeCell ref="L87"/>
    <mergeCell ref="M87"/>
    <mergeCell ref="C87:D87"/>
    <mergeCell ref="E87"/>
    <mergeCell ref="F87"/>
    <mergeCell ref="G87"/>
    <mergeCell ref="H87"/>
    <mergeCell ref="N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N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I91"/>
    <mergeCell ref="J91"/>
    <mergeCell ref="K91"/>
    <mergeCell ref="L91"/>
    <mergeCell ref="M91"/>
    <mergeCell ref="C91:D91"/>
    <mergeCell ref="E91"/>
    <mergeCell ref="F91"/>
    <mergeCell ref="G91"/>
    <mergeCell ref="H91"/>
    <mergeCell ref="N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N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I95"/>
    <mergeCell ref="J95"/>
    <mergeCell ref="K95"/>
    <mergeCell ref="L95"/>
    <mergeCell ref="M95"/>
    <mergeCell ref="C95:D95"/>
    <mergeCell ref="E95"/>
    <mergeCell ref="F95"/>
    <mergeCell ref="G95"/>
    <mergeCell ref="H95"/>
    <mergeCell ref="N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N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M100"/>
    <mergeCell ref="N100"/>
    <mergeCell ref="I99"/>
    <mergeCell ref="J99"/>
    <mergeCell ref="K99"/>
    <mergeCell ref="L99"/>
    <mergeCell ref="M99"/>
    <mergeCell ref="C99:D99"/>
    <mergeCell ref="E99"/>
    <mergeCell ref="F99"/>
    <mergeCell ref="G99"/>
    <mergeCell ref="H99"/>
    <mergeCell ref="N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N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I103"/>
    <mergeCell ref="J103"/>
    <mergeCell ref="K103"/>
    <mergeCell ref="L103"/>
    <mergeCell ref="M103"/>
    <mergeCell ref="C103:D103"/>
    <mergeCell ref="E103"/>
    <mergeCell ref="F103"/>
    <mergeCell ref="G103"/>
    <mergeCell ref="H103"/>
    <mergeCell ref="N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N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I107"/>
    <mergeCell ref="J107"/>
    <mergeCell ref="K107"/>
    <mergeCell ref="L107"/>
    <mergeCell ref="M107"/>
    <mergeCell ref="C107:D107"/>
    <mergeCell ref="E107"/>
    <mergeCell ref="F107"/>
    <mergeCell ref="G107"/>
    <mergeCell ref="H107"/>
    <mergeCell ref="N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H113"/>
    <mergeCell ref="N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M112"/>
    <mergeCell ref="N112"/>
    <mergeCell ref="I111"/>
    <mergeCell ref="J111"/>
    <mergeCell ref="K111"/>
    <mergeCell ref="L111"/>
    <mergeCell ref="M111"/>
    <mergeCell ref="C111:D111"/>
    <mergeCell ref="E111"/>
    <mergeCell ref="F111"/>
    <mergeCell ref="G111"/>
    <mergeCell ref="H111"/>
    <mergeCell ref="N115"/>
    <mergeCell ref="I115"/>
    <mergeCell ref="J115"/>
    <mergeCell ref="K115"/>
    <mergeCell ref="L115"/>
    <mergeCell ref="M115"/>
    <mergeCell ref="C115:D115"/>
    <mergeCell ref="E115"/>
    <mergeCell ref="F115"/>
    <mergeCell ref="G115"/>
    <mergeCell ref="H115"/>
    <mergeCell ref="N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I113"/>
    <mergeCell ref="J113"/>
    <mergeCell ref="K113"/>
    <mergeCell ref="L113"/>
    <mergeCell ref="M113"/>
    <mergeCell ref="C113:D113"/>
    <mergeCell ref="E113"/>
    <mergeCell ref="F113"/>
    <mergeCell ref="G113"/>
  </mergeCells>
  <dataValidations count="9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ate" showErrorMessage="1" errorTitle="Kesalahan Jenis Data" error="Data yang dimasukkan harus berupa tanggal!" sqref="I16">
      <formula1>0</formula1>
      <formula2>2958465.99999999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ate" showErrorMessage="1" errorTitle="Kesalahan Jenis Data" error="Data yang dimasukkan harus berupa tanggal!" sqref="I17">
      <formula1>0</formula1>
      <formula2>2958465.99999999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ate" showErrorMessage="1" errorTitle="Kesalahan Jenis Data" error="Data yang dimasukkan harus berupa tanggal!" sqref="I18">
      <formula1>0</formula1>
      <formula2>2958465.99999999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ate" showErrorMessage="1" errorTitle="Kesalahan Jenis Data" error="Data yang dimasukkan harus berupa tanggal!" sqref="I19">
      <formula1>0</formula1>
      <formula2>2958465.99999999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ate" showErrorMessage="1" errorTitle="Kesalahan Jenis Data" error="Data yang dimasukkan harus berupa tanggal!" sqref="I20">
      <formula1>0</formula1>
      <formula2>2958465.99999999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ate" showErrorMessage="1" errorTitle="Kesalahan Jenis Data" error="Data yang dimasukkan harus berupa tanggal!" sqref="I21">
      <formula1>0</formula1>
      <formula2>2958465.99999999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ate" showErrorMessage="1" errorTitle="Kesalahan Jenis Data" error="Data yang dimasukkan harus berupa tanggal!" sqref="I22">
      <formula1>0</formula1>
      <formula2>2958465.99999999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ate" showErrorMessage="1" errorTitle="Kesalahan Jenis Data" error="Data yang dimasukkan harus berupa tanggal!" sqref="I23">
      <formula1>0</formula1>
      <formula2>2958465.99999999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ate" showErrorMessage="1" errorTitle="Kesalahan Jenis Data" error="Data yang dimasukkan harus berupa tanggal!" sqref="I24">
      <formula1>0</formula1>
      <formula2>2958465.99999999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ate" showErrorMessage="1" errorTitle="Kesalahan Jenis Data" error="Data yang dimasukkan harus berupa tanggal!" sqref="I25">
      <formula1>0</formula1>
      <formula2>2958465.99999999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ate" showErrorMessage="1" errorTitle="Kesalahan Jenis Data" error="Data yang dimasukkan harus berupa tanggal!" sqref="I26">
      <formula1>0</formula1>
      <formula2>2958465.99999999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ate" showErrorMessage="1" errorTitle="Kesalahan Jenis Data" error="Data yang dimasukkan harus berupa tanggal!" sqref="I27">
      <formula1>0</formula1>
      <formula2>2958465.99999999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ate" showErrorMessage="1" errorTitle="Kesalahan Jenis Data" error="Data yang dimasukkan harus berupa tanggal!" sqref="I28">
      <formula1>0</formula1>
      <formula2>2958465.99999999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ate" showErrorMessage="1" errorTitle="Kesalahan Jenis Data" error="Data yang dimasukkan harus berupa tanggal!" sqref="I29">
      <formula1>0</formula1>
      <formula2>2958465.99999999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ate" showErrorMessage="1" errorTitle="Kesalahan Jenis Data" error="Data yang dimasukkan harus berupa tanggal!" sqref="I30">
      <formula1>0</formula1>
      <formula2>2958465.99999999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ate" showErrorMessage="1" errorTitle="Kesalahan Jenis Data" error="Data yang dimasukkan harus berupa tanggal!" sqref="I31">
      <formula1>0</formula1>
      <formula2>2958465.99999999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ate" showErrorMessage="1" errorTitle="Kesalahan Jenis Data" error="Data yang dimasukkan harus berupa tanggal!" sqref="I32">
      <formula1>0</formula1>
      <formula2>2958465.99999999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ate" showErrorMessage="1" errorTitle="Kesalahan Jenis Data" error="Data yang dimasukkan harus berupa tanggal!" sqref="I33">
      <formula1>0</formula1>
      <formula2>2958465.99999999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ate" showErrorMessage="1" errorTitle="Kesalahan Jenis Data" error="Data yang dimasukkan harus berupa tanggal!" sqref="I34">
      <formula1>0</formula1>
      <formula2>2958465.99999999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ate" showErrorMessage="1" errorTitle="Kesalahan Jenis Data" error="Data yang dimasukkan harus berupa tanggal!" sqref="I35">
      <formula1>0</formula1>
      <formula2>2958465.99999999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ate" showErrorMessage="1" errorTitle="Kesalahan Jenis Data" error="Data yang dimasukkan harus berupa tanggal!" sqref="I36">
      <formula1>0</formula1>
      <formula2>2958465.99999999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ate" showErrorMessage="1" errorTitle="Kesalahan Jenis Data" error="Data yang dimasukkan harus berupa tanggal!" sqref="I37">
      <formula1>0</formula1>
      <formula2>2958465.99999999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ate" showErrorMessage="1" errorTitle="Kesalahan Jenis Data" error="Data yang dimasukkan harus berupa tanggal!" sqref="I38">
      <formula1>0</formula1>
      <formula2>2958465.99999999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ate" showErrorMessage="1" errorTitle="Kesalahan Jenis Data" error="Data yang dimasukkan harus berupa tanggal!" sqref="I39">
      <formula1>0</formula1>
      <formula2>2958465.99999999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ate" showErrorMessage="1" errorTitle="Kesalahan Jenis Data" error="Data yang dimasukkan harus berupa tanggal!" sqref="I40">
      <formula1>0</formula1>
      <formula2>2958465.99999999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ate" showErrorMessage="1" errorTitle="Kesalahan Jenis Data" error="Data yang dimasukkan harus berupa tanggal!" sqref="I41">
      <formula1>0</formula1>
      <formula2>2958465.99999999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ate" showErrorMessage="1" errorTitle="Kesalahan Jenis Data" error="Data yang dimasukkan harus berupa tanggal!" sqref="I42">
      <formula1>0</formula1>
      <formula2>2958465.99999999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ate" showErrorMessage="1" errorTitle="Kesalahan Jenis Data" error="Data yang dimasukkan harus berupa tanggal!" sqref="I43">
      <formula1>0</formula1>
      <formula2>2958465.99999999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ate" showErrorMessage="1" errorTitle="Kesalahan Jenis Data" error="Data yang dimasukkan harus berupa tanggal!" sqref="I44">
      <formula1>0</formula1>
      <formula2>2958465.99999999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ate" showErrorMessage="1" errorTitle="Kesalahan Jenis Data" error="Data yang dimasukkan harus berupa tanggal!" sqref="I45">
      <formula1>0</formula1>
      <formula2>2958465.99999999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ate" showErrorMessage="1" errorTitle="Kesalahan Jenis Data" error="Data yang dimasukkan harus berupa tanggal!" sqref="I46">
      <formula1>0</formula1>
      <formula2>2958465.99999999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ate" showErrorMessage="1" errorTitle="Kesalahan Jenis Data" error="Data yang dimasukkan harus berupa tanggal!" sqref="I47">
      <formula1>0</formula1>
      <formula2>2958465.99999999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ate" showErrorMessage="1" errorTitle="Kesalahan Jenis Data" error="Data yang dimasukkan harus berupa tanggal!" sqref="I48">
      <formula1>0</formula1>
      <formula2>2958465.99999999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ate" showErrorMessage="1" errorTitle="Kesalahan Jenis Data" error="Data yang dimasukkan harus berupa tanggal!" sqref="I49">
      <formula1>0</formula1>
      <formula2>2958465.99999999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ate" showErrorMessage="1" errorTitle="Kesalahan Jenis Data" error="Data yang dimasukkan harus berupa tanggal!" sqref="I50">
      <formula1>0</formula1>
      <formula2>2958465.99999999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ate" showErrorMessage="1" errorTitle="Kesalahan Jenis Data" error="Data yang dimasukkan harus berupa tanggal!" sqref="I51">
      <formula1>0</formula1>
      <formula2>2958465.99999999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ate" showErrorMessage="1" errorTitle="Kesalahan Jenis Data" error="Data yang dimasukkan harus berupa tanggal!" sqref="I52">
      <formula1>0</formula1>
      <formula2>2958465.99999999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ate" showErrorMessage="1" errorTitle="Kesalahan Jenis Data" error="Data yang dimasukkan harus berupa tanggal!" sqref="I53">
      <formula1>0</formula1>
      <formula2>2958465.99999999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ate" showErrorMessage="1" errorTitle="Kesalahan Jenis Data" error="Data yang dimasukkan harus berupa tanggal!" sqref="I54">
      <formula1>0</formula1>
      <formula2>2958465.99999999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ate" showErrorMessage="1" errorTitle="Kesalahan Jenis Data" error="Data yang dimasukkan harus berupa tanggal!" sqref="I55">
      <formula1>0</formula1>
      <formula2>2958465.99999999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ate" showErrorMessage="1" errorTitle="Kesalahan Jenis Data" error="Data yang dimasukkan harus berupa tanggal!" sqref="I56">
      <formula1>0</formula1>
      <formula2>2958465.99999999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ate" showErrorMessage="1" errorTitle="Kesalahan Jenis Data" error="Data yang dimasukkan harus berupa tanggal!" sqref="I57">
      <formula1>0</formula1>
      <formula2>2958465.99999999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ate" showErrorMessage="1" errorTitle="Kesalahan Jenis Data" error="Data yang dimasukkan harus berupa tanggal!" sqref="I58">
      <formula1>0</formula1>
      <formula2>2958465.99999999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ate" showErrorMessage="1" errorTitle="Kesalahan Jenis Data" error="Data yang dimasukkan harus berupa tanggal!" sqref="I59">
      <formula1>0</formula1>
      <formula2>2958465.99999999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ate" showErrorMessage="1" errorTitle="Kesalahan Jenis Data" error="Data yang dimasukkan harus berupa tanggal!" sqref="I60">
      <formula1>0</formula1>
      <formula2>2958465.99999999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ate" showErrorMessage="1" errorTitle="Kesalahan Jenis Data" error="Data yang dimasukkan harus berupa tanggal!" sqref="I61">
      <formula1>0</formula1>
      <formula2>2958465.99999999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ate" showErrorMessage="1" errorTitle="Kesalahan Jenis Data" error="Data yang dimasukkan harus berupa tanggal!" sqref="I62">
      <formula1>0</formula1>
      <formula2>2958465.99999999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ate" showErrorMessage="1" errorTitle="Kesalahan Jenis Data" error="Data yang dimasukkan harus berupa tanggal!" sqref="I63">
      <formula1>0</formula1>
      <formula2>2958465.99999999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ate" showErrorMessage="1" errorTitle="Kesalahan Jenis Data" error="Data yang dimasukkan harus berupa tanggal!" sqref="I64">
      <formula1>0</formula1>
      <formula2>2958465.99999999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ate" showErrorMessage="1" errorTitle="Kesalahan Jenis Data" error="Data yang dimasukkan harus berupa tanggal!" sqref="I65">
      <formula1>0</formula1>
      <formula2>2958465.99999999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ate" showErrorMessage="1" errorTitle="Kesalahan Jenis Data" error="Data yang dimasukkan harus berupa tanggal!" sqref="I66">
      <formula1>0</formula1>
      <formula2>2958465.99999999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ate" showErrorMessage="1" errorTitle="Kesalahan Jenis Data" error="Data yang dimasukkan harus berupa tanggal!" sqref="I67">
      <formula1>0</formula1>
      <formula2>2958465.99999999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ate" showErrorMessage="1" errorTitle="Kesalahan Jenis Data" error="Data yang dimasukkan harus berupa tanggal!" sqref="I68">
      <formula1>0</formula1>
      <formula2>2958465.99999999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ate" showErrorMessage="1" errorTitle="Kesalahan Jenis Data" error="Data yang dimasukkan harus berupa tanggal!" sqref="I69">
      <formula1>0</formula1>
      <formula2>2958465.99999999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ate" showErrorMessage="1" errorTitle="Kesalahan Jenis Data" error="Data yang dimasukkan harus berupa tanggal!" sqref="I70">
      <formula1>0</formula1>
      <formula2>2958465.99999999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ate" showErrorMessage="1" errorTitle="Kesalahan Jenis Data" error="Data yang dimasukkan harus berupa tanggal!" sqref="I71">
      <formula1>0</formula1>
      <formula2>2958465.99999999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ate" showErrorMessage="1" errorTitle="Kesalahan Jenis Data" error="Data yang dimasukkan harus berupa tanggal!" sqref="I72">
      <formula1>0</formula1>
      <formula2>2958465.99999999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ate" showErrorMessage="1" errorTitle="Kesalahan Jenis Data" error="Data yang dimasukkan harus berupa tanggal!" sqref="I73">
      <formula1>0</formula1>
      <formula2>2958465.99999999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ate" showErrorMessage="1" errorTitle="Kesalahan Jenis Data" error="Data yang dimasukkan harus berupa tanggal!" sqref="I74">
      <formula1>0</formula1>
      <formula2>2958465.99999999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ate" showErrorMessage="1" errorTitle="Kesalahan Jenis Data" error="Data yang dimasukkan harus berupa tanggal!" sqref="I75">
      <formula1>0</formula1>
      <formula2>2958465.99999999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ate" showErrorMessage="1" errorTitle="Kesalahan Jenis Data" error="Data yang dimasukkan harus berupa tanggal!" sqref="I76">
      <formula1>0</formula1>
      <formula2>2958465.99999999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ate" showErrorMessage="1" errorTitle="Kesalahan Jenis Data" error="Data yang dimasukkan harus berupa tanggal!" sqref="I77">
      <formula1>0</formula1>
      <formula2>2958465.99999999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ate" showErrorMessage="1" errorTitle="Kesalahan Jenis Data" error="Data yang dimasukkan harus berupa tanggal!" sqref="I78">
      <formula1>0</formula1>
      <formula2>2958465.99999999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ate" showErrorMessage="1" errorTitle="Kesalahan Jenis Data" error="Data yang dimasukkan harus berupa tanggal!" sqref="I79">
      <formula1>0</formula1>
      <formula2>2958465.99999999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ate" showErrorMessage="1" errorTitle="Kesalahan Jenis Data" error="Data yang dimasukkan harus berupa tanggal!" sqref="I80">
      <formula1>0</formula1>
      <formula2>2958465.99999999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ate" showErrorMessage="1" errorTitle="Kesalahan Jenis Data" error="Data yang dimasukkan harus berupa tanggal!" sqref="I81">
      <formula1>0</formula1>
      <formula2>2958465.99999999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ate" showErrorMessage="1" errorTitle="Kesalahan Jenis Data" error="Data yang dimasukkan harus berupa tanggal!" sqref="I82">
      <formula1>0</formula1>
      <formula2>2958465.99999999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ate" showErrorMessage="1" errorTitle="Kesalahan Jenis Data" error="Data yang dimasukkan harus berupa tanggal!" sqref="I83">
      <formula1>0</formula1>
      <formula2>2958465.99999999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ate" showErrorMessage="1" errorTitle="Kesalahan Jenis Data" error="Data yang dimasukkan harus berupa tanggal!" sqref="I84">
      <formula1>0</formula1>
      <formula2>2958465.99999999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ate" showErrorMessage="1" errorTitle="Kesalahan Jenis Data" error="Data yang dimasukkan harus berupa tanggal!" sqref="I85">
      <formula1>0</formula1>
      <formula2>2958465.99999999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ate" showErrorMessage="1" errorTitle="Kesalahan Jenis Data" error="Data yang dimasukkan harus berupa tanggal!" sqref="I86">
      <formula1>0</formula1>
      <formula2>2958465.99999999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ate" showErrorMessage="1" errorTitle="Kesalahan Jenis Data" error="Data yang dimasukkan harus berupa tanggal!" sqref="I87">
      <formula1>0</formula1>
      <formula2>2958465.99999999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ate" showErrorMessage="1" errorTitle="Kesalahan Jenis Data" error="Data yang dimasukkan harus berupa tanggal!" sqref="I88">
      <formula1>0</formula1>
      <formula2>2958465.99999999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ate" showErrorMessage="1" errorTitle="Kesalahan Jenis Data" error="Data yang dimasukkan harus berupa tanggal!" sqref="I89">
      <formula1>0</formula1>
      <formula2>2958465.99999999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ate" showErrorMessage="1" errorTitle="Kesalahan Jenis Data" error="Data yang dimasukkan harus berupa tanggal!" sqref="I90">
      <formula1>0</formula1>
      <formula2>2958465.99999999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ate" showErrorMessage="1" errorTitle="Kesalahan Jenis Data" error="Data yang dimasukkan harus berupa tanggal!" sqref="I91">
      <formula1>0</formula1>
      <formula2>2958465.99999999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ate" showErrorMessage="1" errorTitle="Kesalahan Jenis Data" error="Data yang dimasukkan harus berupa tanggal!" sqref="I92">
      <formula1>0</formula1>
      <formula2>2958465.99999999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ate" showErrorMessage="1" errorTitle="Kesalahan Jenis Data" error="Data yang dimasukkan harus berupa tanggal!" sqref="I93">
      <formula1>0</formula1>
      <formula2>2958465.99999999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ate" showErrorMessage="1" errorTitle="Kesalahan Jenis Data" error="Data yang dimasukkan harus berupa tanggal!" sqref="I94">
      <formula1>0</formula1>
      <formula2>2958465.99999999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ate" showErrorMessage="1" errorTitle="Kesalahan Jenis Data" error="Data yang dimasukkan harus berupa tanggal!" sqref="I95">
      <formula1>0</formula1>
      <formula2>2958465.99999999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ate" showErrorMessage="1" errorTitle="Kesalahan Jenis Data" error="Data yang dimasukkan harus berupa tanggal!" sqref="I96">
      <formula1>0</formula1>
      <formula2>2958465.99999999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ate" showErrorMessage="1" errorTitle="Kesalahan Jenis Data" error="Data yang dimasukkan harus berupa tanggal!" sqref="I97">
      <formula1>0</formula1>
      <formula2>2958465.99999999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ate" showErrorMessage="1" errorTitle="Kesalahan Jenis Data" error="Data yang dimasukkan harus berupa tanggal!" sqref="I98">
      <formula1>0</formula1>
      <formula2>2958465.99999999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ate" showErrorMessage="1" errorTitle="Kesalahan Jenis Data" error="Data yang dimasukkan harus berupa tanggal!" sqref="I99">
      <formula1>0</formula1>
      <formula2>2958465.99999999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ate" showErrorMessage="1" errorTitle="Kesalahan Jenis Data" error="Data yang dimasukkan harus berupa tanggal!" sqref="I100">
      <formula1>0</formula1>
      <formula2>2958465.99999999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ate" showErrorMessage="1" errorTitle="Kesalahan Jenis Data" error="Data yang dimasukkan harus berupa tanggal!" sqref="I101">
      <formula1>0</formula1>
      <formula2>2958465.99999999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ate" showErrorMessage="1" errorTitle="Kesalahan Jenis Data" error="Data yang dimasukkan harus berupa tanggal!" sqref="I102">
      <formula1>0</formula1>
      <formula2>2958465.99999999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ate" showErrorMessage="1" errorTitle="Kesalahan Jenis Data" error="Data yang dimasukkan harus berupa tanggal!" sqref="I103">
      <formula1>0</formula1>
      <formula2>2958465.99999999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ate" showErrorMessage="1" errorTitle="Kesalahan Jenis Data" error="Data yang dimasukkan harus berupa tanggal!" sqref="I104">
      <formula1>0</formula1>
      <formula2>2958465.99999999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ate" showErrorMessage="1" errorTitle="Kesalahan Jenis Data" error="Data yang dimasukkan harus berupa tanggal!" sqref="I105">
      <formula1>0</formula1>
      <formula2>2958465.99999999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ate" showErrorMessage="1" errorTitle="Kesalahan Jenis Data" error="Data yang dimasukkan harus berupa tanggal!" sqref="I106">
      <formula1>0</formula1>
      <formula2>2958465.99999999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ate" showErrorMessage="1" errorTitle="Kesalahan Jenis Data" error="Data yang dimasukkan harus berupa tanggal!" sqref="I107">
      <formula1>0</formula1>
      <formula2>2958465.99999999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ate" showErrorMessage="1" errorTitle="Kesalahan Jenis Data" error="Data yang dimasukkan harus berupa tanggal!" sqref="I108">
      <formula1>0</formula1>
      <formula2>2958465.99999999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ate" showErrorMessage="1" errorTitle="Kesalahan Jenis Data" error="Data yang dimasukkan harus berupa tanggal!" sqref="I109">
      <formula1>0</formula1>
      <formula2>2958465.99999999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ate" showErrorMessage="1" errorTitle="Kesalahan Jenis Data" error="Data yang dimasukkan harus berupa tanggal!" sqref="I110">
      <formula1>0</formula1>
      <formula2>2958465.99999999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ate" showErrorMessage="1" errorTitle="Kesalahan Jenis Data" error="Data yang dimasukkan harus berupa tanggal!" sqref="I111">
      <formula1>0</formula1>
      <formula2>2958465.99999999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ate" showErrorMessage="1" errorTitle="Kesalahan Jenis Data" error="Data yang dimasukkan harus berupa tanggal!" sqref="I112">
      <formula1>0</formula1>
      <formula2>2958465.99999999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ate" showErrorMessage="1" errorTitle="Kesalahan Jenis Data" error="Data yang dimasukkan harus berupa tanggal!" sqref="I113">
      <formula1>0</formula1>
      <formula2>2958465.99999999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ate" showErrorMessage="1" errorTitle="Kesalahan Jenis Data" error="Data yang dimasukkan harus berupa tanggal!" sqref="I114">
      <formula1>0</formula1>
      <formula2>2958465.99999999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ate" showErrorMessage="1" errorTitle="Kesalahan Jenis Data" error="Data yang dimasukkan harus berupa tanggal!" sqref="I115">
      <formula1>0</formula1>
      <formula2>2958465.99999999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9" width="30" style="1" customWidth="1"/>
    <col min="10" max="10" width="1" style="1" customWidth="1"/>
    <col min="11" max="11" width="9.140625" style="1" customWidth="1"/>
    <col min="12" max="16384" width="9.140625" style="1"/>
  </cols>
  <sheetData>
    <row r="2" spans="2:10" ht="5.0999999999999996" customHeight="1">
      <c r="B2" s="9" t="s">
        <v>691</v>
      </c>
      <c r="C2" s="2"/>
      <c r="D2" s="2"/>
      <c r="E2" s="2"/>
      <c r="F2" s="2"/>
      <c r="G2" s="2"/>
      <c r="H2" s="2"/>
      <c r="I2" s="2"/>
      <c r="J2" s="2"/>
    </row>
    <row r="3" spans="2:10" hidden="1">
      <c r="B3" s="9" t="s">
        <v>8</v>
      </c>
      <c r="C3" s="2"/>
      <c r="D3" s="2"/>
      <c r="E3" s="2"/>
      <c r="F3" s="2"/>
      <c r="G3" s="2"/>
      <c r="H3" s="2"/>
      <c r="I3" s="2"/>
      <c r="J3" s="2"/>
    </row>
    <row r="4" spans="2:10" hidden="1">
      <c r="B4" s="2"/>
      <c r="C4" s="2"/>
      <c r="D4" s="2"/>
      <c r="E4" s="2"/>
      <c r="F4" s="2"/>
      <c r="G4" s="2"/>
      <c r="H4" s="2"/>
      <c r="I4" s="2"/>
      <c r="J4" s="2"/>
    </row>
    <row r="5" spans="2:10" hidden="1">
      <c r="B5" s="2"/>
      <c r="C5" s="2"/>
      <c r="D5" s="2"/>
      <c r="E5" s="2"/>
      <c r="F5" s="2"/>
      <c r="G5" s="2"/>
      <c r="H5" s="2"/>
      <c r="I5" s="2"/>
      <c r="J5" s="2"/>
    </row>
    <row r="6" spans="2:10" hidden="1">
      <c r="B6" s="2"/>
      <c r="C6" s="2"/>
      <c r="D6" s="2"/>
      <c r="E6" s="2"/>
      <c r="F6" s="2"/>
      <c r="G6" s="2"/>
      <c r="H6" s="2"/>
      <c r="I6" s="2"/>
      <c r="J6" s="2"/>
    </row>
    <row r="7" spans="2:10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2"/>
    </row>
    <row r="8" spans="2:10">
      <c r="B8" s="2"/>
      <c r="C8" s="2"/>
      <c r="D8" s="2"/>
      <c r="E8" s="2"/>
      <c r="F8" s="2"/>
      <c r="G8" s="2"/>
      <c r="H8" s="2"/>
      <c r="I8" s="2"/>
      <c r="J8" s="2"/>
    </row>
    <row r="9" spans="2:10">
      <c r="B9" s="2"/>
      <c r="C9" s="46" t="s">
        <v>692</v>
      </c>
      <c r="D9" s="46"/>
      <c r="E9" s="46"/>
      <c r="F9" s="46"/>
      <c r="G9" s="46"/>
      <c r="H9" s="46"/>
      <c r="I9" s="46"/>
      <c r="J9" s="2"/>
    </row>
    <row r="10" spans="2:10">
      <c r="B10" s="2"/>
      <c r="C10" s="46"/>
      <c r="D10" s="46"/>
      <c r="E10" s="46"/>
      <c r="F10" s="46"/>
      <c r="G10" s="46"/>
      <c r="H10" s="46"/>
      <c r="I10" s="46"/>
      <c r="J10" s="2"/>
    </row>
    <row r="11" spans="2:10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2"/>
    </row>
    <row r="12" spans="2:10" hidden="1">
      <c r="B12" s="2"/>
      <c r="C12" s="2"/>
      <c r="D12" s="2"/>
      <c r="E12" s="2"/>
      <c r="F12" s="2"/>
      <c r="G12" s="2"/>
      <c r="H12" s="2"/>
      <c r="I12" s="2"/>
      <c r="J12" s="2"/>
    </row>
    <row r="13" spans="2:10">
      <c r="B13" s="2"/>
      <c r="C13" s="48" t="s">
        <v>232</v>
      </c>
      <c r="D13" s="48"/>
      <c r="E13" s="48"/>
      <c r="F13" s="48"/>
      <c r="G13" s="48"/>
      <c r="H13" s="48"/>
      <c r="I13" s="48"/>
      <c r="J13" s="2"/>
    </row>
    <row r="14" spans="2:10">
      <c r="B14" s="2"/>
      <c r="C14" s="40" t="s">
        <v>126</v>
      </c>
      <c r="D14" s="38"/>
      <c r="E14" s="43" t="str">
        <f>"Nama Aset"</f>
        <v>Nama Aset</v>
      </c>
      <c r="F14" s="43" t="str">
        <f>"Jenis Dana"</f>
        <v>Jenis Dana</v>
      </c>
      <c r="G14" s="43" t="str">
        <f>"Nilai Pasar / Apraisal"</f>
        <v>Nilai Pasar / Apraisal</v>
      </c>
      <c r="H14" s="43" t="str">
        <f>"Saldo Juta (Rp)"</f>
        <v>Saldo Juta (Rp)</v>
      </c>
      <c r="I14" s="43" t="str">
        <f>"Keterangan"</f>
        <v>Keterangan</v>
      </c>
      <c r="J14" s="2"/>
    </row>
    <row r="15" spans="2:10">
      <c r="B15" s="2"/>
      <c r="C15" s="41"/>
      <c r="D15" s="42"/>
      <c r="E15" s="44"/>
      <c r="F15" s="44"/>
      <c r="G15" s="44"/>
      <c r="H15" s="44"/>
      <c r="I15" s="44"/>
      <c r="J15" s="2"/>
    </row>
    <row r="16" spans="2:10">
      <c r="B16" s="2"/>
      <c r="C16" s="37" t="s">
        <v>8</v>
      </c>
      <c r="D16" s="38"/>
      <c r="E16" s="34" t="s">
        <v>103</v>
      </c>
      <c r="F16" s="39">
        <v>0</v>
      </c>
      <c r="G16" s="51">
        <v>0</v>
      </c>
      <c r="H16" s="51">
        <v>0</v>
      </c>
      <c r="I16" s="34" t="s">
        <v>103</v>
      </c>
      <c r="J16" s="2"/>
    </row>
    <row r="17" spans="2:10">
      <c r="B17" s="2"/>
      <c r="C17" s="37" t="s">
        <v>127</v>
      </c>
      <c r="D17" s="38"/>
      <c r="E17" s="34" t="s">
        <v>103</v>
      </c>
      <c r="F17" s="39">
        <v>0</v>
      </c>
      <c r="G17" s="51">
        <v>0</v>
      </c>
      <c r="H17" s="51">
        <v>0</v>
      </c>
      <c r="I17" s="34" t="s">
        <v>103</v>
      </c>
      <c r="J17" s="2"/>
    </row>
    <row r="18" spans="2:10">
      <c r="B18" s="2"/>
      <c r="C18" s="37" t="s">
        <v>128</v>
      </c>
      <c r="D18" s="38"/>
      <c r="E18" s="34" t="s">
        <v>103</v>
      </c>
      <c r="F18" s="39">
        <v>0</v>
      </c>
      <c r="G18" s="51">
        <v>0</v>
      </c>
      <c r="H18" s="51">
        <v>0</v>
      </c>
      <c r="I18" s="34" t="s">
        <v>103</v>
      </c>
      <c r="J18" s="2"/>
    </row>
    <row r="19" spans="2:10">
      <c r="B19" s="2"/>
      <c r="C19" s="37" t="s">
        <v>129</v>
      </c>
      <c r="D19" s="38"/>
      <c r="E19" s="34" t="s">
        <v>103</v>
      </c>
      <c r="F19" s="39">
        <v>0</v>
      </c>
      <c r="G19" s="51">
        <v>0</v>
      </c>
      <c r="H19" s="51">
        <v>0</v>
      </c>
      <c r="I19" s="34" t="s">
        <v>103</v>
      </c>
      <c r="J19" s="2"/>
    </row>
    <row r="20" spans="2:10">
      <c r="B20" s="2"/>
      <c r="C20" s="37" t="s">
        <v>130</v>
      </c>
      <c r="D20" s="38"/>
      <c r="E20" s="34" t="s">
        <v>103</v>
      </c>
      <c r="F20" s="39">
        <v>0</v>
      </c>
      <c r="G20" s="51">
        <v>0</v>
      </c>
      <c r="H20" s="51">
        <v>0</v>
      </c>
      <c r="I20" s="34" t="s">
        <v>103</v>
      </c>
      <c r="J20" s="2"/>
    </row>
    <row r="21" spans="2:10">
      <c r="B21" s="2"/>
      <c r="C21" s="37" t="s">
        <v>131</v>
      </c>
      <c r="D21" s="38"/>
      <c r="E21" s="34" t="s">
        <v>103</v>
      </c>
      <c r="F21" s="39">
        <v>0</v>
      </c>
      <c r="G21" s="51">
        <v>0</v>
      </c>
      <c r="H21" s="51">
        <v>0</v>
      </c>
      <c r="I21" s="34" t="s">
        <v>103</v>
      </c>
      <c r="J21" s="2"/>
    </row>
    <row r="22" spans="2:10">
      <c r="B22" s="2"/>
      <c r="C22" s="37" t="s">
        <v>132</v>
      </c>
      <c r="D22" s="38"/>
      <c r="E22" s="34" t="s">
        <v>103</v>
      </c>
      <c r="F22" s="39">
        <v>0</v>
      </c>
      <c r="G22" s="51">
        <v>0</v>
      </c>
      <c r="H22" s="51">
        <v>0</v>
      </c>
      <c r="I22" s="34" t="s">
        <v>103</v>
      </c>
      <c r="J22" s="2"/>
    </row>
    <row r="23" spans="2:10">
      <c r="B23" s="2"/>
      <c r="C23" s="37" t="s">
        <v>133</v>
      </c>
      <c r="D23" s="38"/>
      <c r="E23" s="34" t="s">
        <v>103</v>
      </c>
      <c r="F23" s="39">
        <v>0</v>
      </c>
      <c r="G23" s="51">
        <v>0</v>
      </c>
      <c r="H23" s="51">
        <v>0</v>
      </c>
      <c r="I23" s="34" t="s">
        <v>103</v>
      </c>
      <c r="J23" s="2"/>
    </row>
    <row r="24" spans="2:10">
      <c r="B24" s="2"/>
      <c r="C24" s="37" t="s">
        <v>134</v>
      </c>
      <c r="D24" s="38"/>
      <c r="E24" s="34" t="s">
        <v>103</v>
      </c>
      <c r="F24" s="39">
        <v>0</v>
      </c>
      <c r="G24" s="51">
        <v>0</v>
      </c>
      <c r="H24" s="51">
        <v>0</v>
      </c>
      <c r="I24" s="34" t="s">
        <v>103</v>
      </c>
      <c r="J24" s="2"/>
    </row>
    <row r="25" spans="2:10">
      <c r="B25" s="2"/>
      <c r="C25" s="37" t="s">
        <v>135</v>
      </c>
      <c r="D25" s="38"/>
      <c r="E25" s="34" t="s">
        <v>103</v>
      </c>
      <c r="F25" s="39">
        <v>0</v>
      </c>
      <c r="G25" s="51">
        <v>0</v>
      </c>
      <c r="H25" s="51">
        <v>0</v>
      </c>
      <c r="I25" s="34" t="s">
        <v>103</v>
      </c>
      <c r="J25" s="2"/>
    </row>
    <row r="26" spans="2:10">
      <c r="B26" s="2"/>
      <c r="C26" s="37" t="s">
        <v>136</v>
      </c>
      <c r="D26" s="38"/>
      <c r="E26" s="34" t="s">
        <v>103</v>
      </c>
      <c r="F26" s="39">
        <v>0</v>
      </c>
      <c r="G26" s="51">
        <v>0</v>
      </c>
      <c r="H26" s="51">
        <v>0</v>
      </c>
      <c r="I26" s="34" t="s">
        <v>103</v>
      </c>
      <c r="J26" s="2"/>
    </row>
    <row r="27" spans="2:10">
      <c r="B27" s="2"/>
      <c r="C27" s="37" t="s">
        <v>137</v>
      </c>
      <c r="D27" s="38"/>
      <c r="E27" s="34" t="s">
        <v>103</v>
      </c>
      <c r="F27" s="39">
        <v>0</v>
      </c>
      <c r="G27" s="51">
        <v>0</v>
      </c>
      <c r="H27" s="51">
        <v>0</v>
      </c>
      <c r="I27" s="34" t="s">
        <v>103</v>
      </c>
      <c r="J27" s="2"/>
    </row>
    <row r="28" spans="2:10">
      <c r="B28" s="2"/>
      <c r="C28" s="37" t="s">
        <v>138</v>
      </c>
      <c r="D28" s="38"/>
      <c r="E28" s="34" t="s">
        <v>103</v>
      </c>
      <c r="F28" s="39">
        <v>0</v>
      </c>
      <c r="G28" s="51">
        <v>0</v>
      </c>
      <c r="H28" s="51">
        <v>0</v>
      </c>
      <c r="I28" s="34" t="s">
        <v>103</v>
      </c>
      <c r="J28" s="2"/>
    </row>
    <row r="29" spans="2:10">
      <c r="B29" s="2"/>
      <c r="C29" s="37" t="s">
        <v>139</v>
      </c>
      <c r="D29" s="38"/>
      <c r="E29" s="34" t="s">
        <v>103</v>
      </c>
      <c r="F29" s="39">
        <v>0</v>
      </c>
      <c r="G29" s="51">
        <v>0</v>
      </c>
      <c r="H29" s="51">
        <v>0</v>
      </c>
      <c r="I29" s="34" t="s">
        <v>103</v>
      </c>
      <c r="J29" s="2"/>
    </row>
    <row r="30" spans="2:10">
      <c r="B30" s="2"/>
      <c r="C30" s="37" t="s">
        <v>140</v>
      </c>
      <c r="D30" s="38"/>
      <c r="E30" s="34" t="s">
        <v>103</v>
      </c>
      <c r="F30" s="39">
        <v>0</v>
      </c>
      <c r="G30" s="51">
        <v>0</v>
      </c>
      <c r="H30" s="51">
        <v>0</v>
      </c>
      <c r="I30" s="34" t="s">
        <v>103</v>
      </c>
      <c r="J30" s="2"/>
    </row>
    <row r="31" spans="2:10">
      <c r="B31" s="2"/>
      <c r="C31" s="37" t="s">
        <v>141</v>
      </c>
      <c r="D31" s="38"/>
      <c r="E31" s="34" t="s">
        <v>103</v>
      </c>
      <c r="F31" s="39">
        <v>0</v>
      </c>
      <c r="G31" s="51">
        <v>0</v>
      </c>
      <c r="H31" s="51">
        <v>0</v>
      </c>
      <c r="I31" s="34" t="s">
        <v>103</v>
      </c>
      <c r="J31" s="2"/>
    </row>
    <row r="32" spans="2:10">
      <c r="B32" s="2"/>
      <c r="C32" s="37" t="s">
        <v>142</v>
      </c>
      <c r="D32" s="38"/>
      <c r="E32" s="34" t="s">
        <v>103</v>
      </c>
      <c r="F32" s="39">
        <v>0</v>
      </c>
      <c r="G32" s="51">
        <v>0</v>
      </c>
      <c r="H32" s="51">
        <v>0</v>
      </c>
      <c r="I32" s="34" t="s">
        <v>103</v>
      </c>
      <c r="J32" s="2"/>
    </row>
    <row r="33" spans="2:10">
      <c r="B33" s="2"/>
      <c r="C33" s="37" t="s">
        <v>143</v>
      </c>
      <c r="D33" s="38"/>
      <c r="E33" s="34" t="s">
        <v>103</v>
      </c>
      <c r="F33" s="39">
        <v>0</v>
      </c>
      <c r="G33" s="51">
        <v>0</v>
      </c>
      <c r="H33" s="51">
        <v>0</v>
      </c>
      <c r="I33" s="34" t="s">
        <v>103</v>
      </c>
      <c r="J33" s="2"/>
    </row>
    <row r="34" spans="2:10">
      <c r="B34" s="2"/>
      <c r="C34" s="37" t="s">
        <v>144</v>
      </c>
      <c r="D34" s="38"/>
      <c r="E34" s="34" t="s">
        <v>103</v>
      </c>
      <c r="F34" s="39">
        <v>0</v>
      </c>
      <c r="G34" s="51">
        <v>0</v>
      </c>
      <c r="H34" s="51">
        <v>0</v>
      </c>
      <c r="I34" s="34" t="s">
        <v>103</v>
      </c>
      <c r="J34" s="2"/>
    </row>
    <row r="35" spans="2:10">
      <c r="B35" s="2"/>
      <c r="C35" s="37" t="s">
        <v>145</v>
      </c>
      <c r="D35" s="38"/>
      <c r="E35" s="34" t="s">
        <v>103</v>
      </c>
      <c r="F35" s="39">
        <v>0</v>
      </c>
      <c r="G35" s="51">
        <v>0</v>
      </c>
      <c r="H35" s="51">
        <v>0</v>
      </c>
      <c r="I35" s="34" t="s">
        <v>103</v>
      </c>
      <c r="J35" s="2"/>
    </row>
    <row r="36" spans="2:10">
      <c r="B36" s="2"/>
      <c r="C36" s="37" t="s">
        <v>146</v>
      </c>
      <c r="D36" s="38"/>
      <c r="E36" s="34" t="s">
        <v>103</v>
      </c>
      <c r="F36" s="39">
        <v>0</v>
      </c>
      <c r="G36" s="51">
        <v>0</v>
      </c>
      <c r="H36" s="51">
        <v>0</v>
      </c>
      <c r="I36" s="34" t="s">
        <v>103</v>
      </c>
      <c r="J36" s="2"/>
    </row>
    <row r="37" spans="2:10">
      <c r="B37" s="2"/>
      <c r="C37" s="37" t="s">
        <v>147</v>
      </c>
      <c r="D37" s="38"/>
      <c r="E37" s="34" t="s">
        <v>103</v>
      </c>
      <c r="F37" s="39">
        <v>0</v>
      </c>
      <c r="G37" s="51">
        <v>0</v>
      </c>
      <c r="H37" s="51">
        <v>0</v>
      </c>
      <c r="I37" s="34" t="s">
        <v>103</v>
      </c>
      <c r="J37" s="2"/>
    </row>
    <row r="38" spans="2:10">
      <c r="B38" s="2"/>
      <c r="C38" s="37" t="s">
        <v>148</v>
      </c>
      <c r="D38" s="38"/>
      <c r="E38" s="34" t="s">
        <v>103</v>
      </c>
      <c r="F38" s="39">
        <v>0</v>
      </c>
      <c r="G38" s="51">
        <v>0</v>
      </c>
      <c r="H38" s="51">
        <v>0</v>
      </c>
      <c r="I38" s="34" t="s">
        <v>103</v>
      </c>
      <c r="J38" s="2"/>
    </row>
    <row r="39" spans="2:10">
      <c r="B39" s="2"/>
      <c r="C39" s="37" t="s">
        <v>149</v>
      </c>
      <c r="D39" s="38"/>
      <c r="E39" s="34" t="s">
        <v>103</v>
      </c>
      <c r="F39" s="39">
        <v>0</v>
      </c>
      <c r="G39" s="51">
        <v>0</v>
      </c>
      <c r="H39" s="51">
        <v>0</v>
      </c>
      <c r="I39" s="34" t="s">
        <v>103</v>
      </c>
      <c r="J39" s="2"/>
    </row>
    <row r="40" spans="2:10">
      <c r="B40" s="2"/>
      <c r="C40" s="37" t="s">
        <v>150</v>
      </c>
      <c r="D40" s="38"/>
      <c r="E40" s="34" t="s">
        <v>103</v>
      </c>
      <c r="F40" s="39">
        <v>0</v>
      </c>
      <c r="G40" s="51">
        <v>0</v>
      </c>
      <c r="H40" s="51">
        <v>0</v>
      </c>
      <c r="I40" s="34" t="s">
        <v>103</v>
      </c>
      <c r="J40" s="2"/>
    </row>
    <row r="41" spans="2:10">
      <c r="B41" s="2"/>
      <c r="C41" s="37" t="s">
        <v>151</v>
      </c>
      <c r="D41" s="38"/>
      <c r="E41" s="34" t="s">
        <v>103</v>
      </c>
      <c r="F41" s="39">
        <v>0</v>
      </c>
      <c r="G41" s="51">
        <v>0</v>
      </c>
      <c r="H41" s="51">
        <v>0</v>
      </c>
      <c r="I41" s="34" t="s">
        <v>103</v>
      </c>
      <c r="J41" s="2"/>
    </row>
    <row r="42" spans="2:10">
      <c r="B42" s="2"/>
      <c r="C42" s="37" t="s">
        <v>152</v>
      </c>
      <c r="D42" s="38"/>
      <c r="E42" s="34" t="s">
        <v>103</v>
      </c>
      <c r="F42" s="39">
        <v>0</v>
      </c>
      <c r="G42" s="51">
        <v>0</v>
      </c>
      <c r="H42" s="51">
        <v>0</v>
      </c>
      <c r="I42" s="34" t="s">
        <v>103</v>
      </c>
      <c r="J42" s="2"/>
    </row>
    <row r="43" spans="2:10">
      <c r="B43" s="2"/>
      <c r="C43" s="37" t="s">
        <v>153</v>
      </c>
      <c r="D43" s="38"/>
      <c r="E43" s="34" t="s">
        <v>103</v>
      </c>
      <c r="F43" s="39">
        <v>0</v>
      </c>
      <c r="G43" s="51">
        <v>0</v>
      </c>
      <c r="H43" s="51">
        <v>0</v>
      </c>
      <c r="I43" s="34" t="s">
        <v>103</v>
      </c>
      <c r="J43" s="2"/>
    </row>
    <row r="44" spans="2:10">
      <c r="B44" s="2"/>
      <c r="C44" s="37" t="s">
        <v>154</v>
      </c>
      <c r="D44" s="38"/>
      <c r="E44" s="34" t="s">
        <v>103</v>
      </c>
      <c r="F44" s="39">
        <v>0</v>
      </c>
      <c r="G44" s="51">
        <v>0</v>
      </c>
      <c r="H44" s="51">
        <v>0</v>
      </c>
      <c r="I44" s="34" t="s">
        <v>103</v>
      </c>
      <c r="J44" s="2"/>
    </row>
    <row r="45" spans="2:10">
      <c r="B45" s="2"/>
      <c r="C45" s="37" t="s">
        <v>155</v>
      </c>
      <c r="D45" s="38"/>
      <c r="E45" s="34" t="s">
        <v>103</v>
      </c>
      <c r="F45" s="39">
        <v>0</v>
      </c>
      <c r="G45" s="51">
        <v>0</v>
      </c>
      <c r="H45" s="51">
        <v>0</v>
      </c>
      <c r="I45" s="34" t="s">
        <v>103</v>
      </c>
      <c r="J45" s="2"/>
    </row>
    <row r="46" spans="2:10">
      <c r="B46" s="2"/>
      <c r="C46" s="37" t="s">
        <v>156</v>
      </c>
      <c r="D46" s="38"/>
      <c r="E46" s="34" t="s">
        <v>103</v>
      </c>
      <c r="F46" s="39">
        <v>0</v>
      </c>
      <c r="G46" s="51">
        <v>0</v>
      </c>
      <c r="H46" s="51">
        <v>0</v>
      </c>
      <c r="I46" s="34" t="s">
        <v>103</v>
      </c>
      <c r="J46" s="2"/>
    </row>
    <row r="47" spans="2:10">
      <c r="B47" s="2"/>
      <c r="C47" s="37" t="s">
        <v>157</v>
      </c>
      <c r="D47" s="38"/>
      <c r="E47" s="34" t="s">
        <v>103</v>
      </c>
      <c r="F47" s="39">
        <v>0</v>
      </c>
      <c r="G47" s="51">
        <v>0</v>
      </c>
      <c r="H47" s="51">
        <v>0</v>
      </c>
      <c r="I47" s="34" t="s">
        <v>103</v>
      </c>
      <c r="J47" s="2"/>
    </row>
    <row r="48" spans="2:10">
      <c r="B48" s="2"/>
      <c r="C48" s="37" t="s">
        <v>158</v>
      </c>
      <c r="D48" s="38"/>
      <c r="E48" s="34" t="s">
        <v>103</v>
      </c>
      <c r="F48" s="39">
        <v>0</v>
      </c>
      <c r="G48" s="51">
        <v>0</v>
      </c>
      <c r="H48" s="51">
        <v>0</v>
      </c>
      <c r="I48" s="34" t="s">
        <v>103</v>
      </c>
      <c r="J48" s="2"/>
    </row>
    <row r="49" spans="2:10">
      <c r="B49" s="2"/>
      <c r="C49" s="37" t="s">
        <v>159</v>
      </c>
      <c r="D49" s="38"/>
      <c r="E49" s="34" t="s">
        <v>103</v>
      </c>
      <c r="F49" s="39">
        <v>0</v>
      </c>
      <c r="G49" s="51">
        <v>0</v>
      </c>
      <c r="H49" s="51">
        <v>0</v>
      </c>
      <c r="I49" s="34" t="s">
        <v>103</v>
      </c>
      <c r="J49" s="2"/>
    </row>
    <row r="50" spans="2:10">
      <c r="B50" s="2"/>
      <c r="C50" s="37" t="s">
        <v>160</v>
      </c>
      <c r="D50" s="38"/>
      <c r="E50" s="34" t="s">
        <v>103</v>
      </c>
      <c r="F50" s="39">
        <v>0</v>
      </c>
      <c r="G50" s="51">
        <v>0</v>
      </c>
      <c r="H50" s="51">
        <v>0</v>
      </c>
      <c r="I50" s="34" t="s">
        <v>103</v>
      </c>
      <c r="J50" s="2"/>
    </row>
    <row r="51" spans="2:10">
      <c r="B51" s="2"/>
      <c r="C51" s="37" t="s">
        <v>161</v>
      </c>
      <c r="D51" s="38"/>
      <c r="E51" s="34" t="s">
        <v>103</v>
      </c>
      <c r="F51" s="39">
        <v>0</v>
      </c>
      <c r="G51" s="51">
        <v>0</v>
      </c>
      <c r="H51" s="51">
        <v>0</v>
      </c>
      <c r="I51" s="34" t="s">
        <v>103</v>
      </c>
      <c r="J51" s="2"/>
    </row>
    <row r="52" spans="2:10">
      <c r="B52" s="2"/>
      <c r="C52" s="37" t="s">
        <v>162</v>
      </c>
      <c r="D52" s="38"/>
      <c r="E52" s="34" t="s">
        <v>103</v>
      </c>
      <c r="F52" s="39">
        <v>0</v>
      </c>
      <c r="G52" s="51">
        <v>0</v>
      </c>
      <c r="H52" s="51">
        <v>0</v>
      </c>
      <c r="I52" s="34" t="s">
        <v>103</v>
      </c>
      <c r="J52" s="2"/>
    </row>
    <row r="53" spans="2:10">
      <c r="B53" s="2"/>
      <c r="C53" s="37" t="s">
        <v>163</v>
      </c>
      <c r="D53" s="38"/>
      <c r="E53" s="34" t="s">
        <v>103</v>
      </c>
      <c r="F53" s="39">
        <v>0</v>
      </c>
      <c r="G53" s="51">
        <v>0</v>
      </c>
      <c r="H53" s="51">
        <v>0</v>
      </c>
      <c r="I53" s="34" t="s">
        <v>103</v>
      </c>
      <c r="J53" s="2"/>
    </row>
    <row r="54" spans="2:10">
      <c r="B54" s="2"/>
      <c r="C54" s="37" t="s">
        <v>164</v>
      </c>
      <c r="D54" s="38"/>
      <c r="E54" s="34" t="s">
        <v>103</v>
      </c>
      <c r="F54" s="39">
        <v>0</v>
      </c>
      <c r="G54" s="51">
        <v>0</v>
      </c>
      <c r="H54" s="51">
        <v>0</v>
      </c>
      <c r="I54" s="34" t="s">
        <v>103</v>
      </c>
      <c r="J54" s="2"/>
    </row>
    <row r="55" spans="2:10">
      <c r="B55" s="2"/>
      <c r="C55" s="37" t="s">
        <v>165</v>
      </c>
      <c r="D55" s="38"/>
      <c r="E55" s="34" t="s">
        <v>103</v>
      </c>
      <c r="F55" s="39">
        <v>0</v>
      </c>
      <c r="G55" s="51">
        <v>0</v>
      </c>
      <c r="H55" s="51">
        <v>0</v>
      </c>
      <c r="I55" s="34" t="s">
        <v>103</v>
      </c>
      <c r="J55" s="2"/>
    </row>
    <row r="56" spans="2:10">
      <c r="B56" s="2"/>
      <c r="C56" s="37" t="s">
        <v>166</v>
      </c>
      <c r="D56" s="38"/>
      <c r="E56" s="34" t="s">
        <v>103</v>
      </c>
      <c r="F56" s="39">
        <v>0</v>
      </c>
      <c r="G56" s="51">
        <v>0</v>
      </c>
      <c r="H56" s="51">
        <v>0</v>
      </c>
      <c r="I56" s="34" t="s">
        <v>103</v>
      </c>
      <c r="J56" s="2"/>
    </row>
    <row r="57" spans="2:10">
      <c r="B57" s="2"/>
      <c r="C57" s="37" t="s">
        <v>167</v>
      </c>
      <c r="D57" s="38"/>
      <c r="E57" s="34" t="s">
        <v>103</v>
      </c>
      <c r="F57" s="39">
        <v>0</v>
      </c>
      <c r="G57" s="51">
        <v>0</v>
      </c>
      <c r="H57" s="51">
        <v>0</v>
      </c>
      <c r="I57" s="34" t="s">
        <v>103</v>
      </c>
      <c r="J57" s="2"/>
    </row>
    <row r="58" spans="2:10">
      <c r="B58" s="2"/>
      <c r="C58" s="37" t="s">
        <v>168</v>
      </c>
      <c r="D58" s="38"/>
      <c r="E58" s="34" t="s">
        <v>103</v>
      </c>
      <c r="F58" s="39">
        <v>0</v>
      </c>
      <c r="G58" s="51">
        <v>0</v>
      </c>
      <c r="H58" s="51">
        <v>0</v>
      </c>
      <c r="I58" s="34" t="s">
        <v>103</v>
      </c>
      <c r="J58" s="2"/>
    </row>
    <row r="59" spans="2:10">
      <c r="B59" s="2"/>
      <c r="C59" s="37" t="s">
        <v>169</v>
      </c>
      <c r="D59" s="38"/>
      <c r="E59" s="34" t="s">
        <v>103</v>
      </c>
      <c r="F59" s="39">
        <v>0</v>
      </c>
      <c r="G59" s="51">
        <v>0</v>
      </c>
      <c r="H59" s="51">
        <v>0</v>
      </c>
      <c r="I59" s="34" t="s">
        <v>103</v>
      </c>
      <c r="J59" s="2"/>
    </row>
    <row r="60" spans="2:10">
      <c r="B60" s="2"/>
      <c r="C60" s="37" t="s">
        <v>170</v>
      </c>
      <c r="D60" s="38"/>
      <c r="E60" s="34" t="s">
        <v>103</v>
      </c>
      <c r="F60" s="39">
        <v>0</v>
      </c>
      <c r="G60" s="51">
        <v>0</v>
      </c>
      <c r="H60" s="51">
        <v>0</v>
      </c>
      <c r="I60" s="34" t="s">
        <v>103</v>
      </c>
      <c r="J60" s="2"/>
    </row>
    <row r="61" spans="2:10">
      <c r="B61" s="2"/>
      <c r="C61" s="37" t="s">
        <v>171</v>
      </c>
      <c r="D61" s="38"/>
      <c r="E61" s="34" t="s">
        <v>103</v>
      </c>
      <c r="F61" s="39">
        <v>0</v>
      </c>
      <c r="G61" s="51">
        <v>0</v>
      </c>
      <c r="H61" s="51">
        <v>0</v>
      </c>
      <c r="I61" s="34" t="s">
        <v>103</v>
      </c>
      <c r="J61" s="2"/>
    </row>
    <row r="62" spans="2:10">
      <c r="B62" s="2"/>
      <c r="C62" s="37" t="s">
        <v>172</v>
      </c>
      <c r="D62" s="38"/>
      <c r="E62" s="34" t="s">
        <v>103</v>
      </c>
      <c r="F62" s="39">
        <v>0</v>
      </c>
      <c r="G62" s="51">
        <v>0</v>
      </c>
      <c r="H62" s="51">
        <v>0</v>
      </c>
      <c r="I62" s="34" t="s">
        <v>103</v>
      </c>
      <c r="J62" s="2"/>
    </row>
    <row r="63" spans="2:10">
      <c r="B63" s="2"/>
      <c r="C63" s="37" t="s">
        <v>173</v>
      </c>
      <c r="D63" s="38"/>
      <c r="E63" s="34" t="s">
        <v>103</v>
      </c>
      <c r="F63" s="39">
        <v>0</v>
      </c>
      <c r="G63" s="51">
        <v>0</v>
      </c>
      <c r="H63" s="51">
        <v>0</v>
      </c>
      <c r="I63" s="34" t="s">
        <v>103</v>
      </c>
      <c r="J63" s="2"/>
    </row>
    <row r="64" spans="2:10">
      <c r="B64" s="2"/>
      <c r="C64" s="37" t="s">
        <v>174</v>
      </c>
      <c r="D64" s="38"/>
      <c r="E64" s="34" t="s">
        <v>103</v>
      </c>
      <c r="F64" s="39">
        <v>0</v>
      </c>
      <c r="G64" s="51">
        <v>0</v>
      </c>
      <c r="H64" s="51">
        <v>0</v>
      </c>
      <c r="I64" s="34" t="s">
        <v>103</v>
      </c>
      <c r="J64" s="2"/>
    </row>
    <row r="65" spans="2:10">
      <c r="B65" s="2"/>
      <c r="C65" s="37" t="s">
        <v>175</v>
      </c>
      <c r="D65" s="38"/>
      <c r="E65" s="34" t="s">
        <v>103</v>
      </c>
      <c r="F65" s="39">
        <v>0</v>
      </c>
      <c r="G65" s="51">
        <v>0</v>
      </c>
      <c r="H65" s="51">
        <v>0</v>
      </c>
      <c r="I65" s="34" t="s">
        <v>103</v>
      </c>
      <c r="J65" s="2"/>
    </row>
    <row r="66" spans="2:10">
      <c r="B66" s="2"/>
      <c r="C66" s="37" t="s">
        <v>176</v>
      </c>
      <c r="D66" s="38"/>
      <c r="E66" s="34" t="s">
        <v>103</v>
      </c>
      <c r="F66" s="39">
        <v>0</v>
      </c>
      <c r="G66" s="51">
        <v>0</v>
      </c>
      <c r="H66" s="51">
        <v>0</v>
      </c>
      <c r="I66" s="34" t="s">
        <v>103</v>
      </c>
      <c r="J66" s="2"/>
    </row>
    <row r="67" spans="2:10">
      <c r="B67" s="2"/>
      <c r="C67" s="37" t="s">
        <v>177</v>
      </c>
      <c r="D67" s="38"/>
      <c r="E67" s="34" t="s">
        <v>103</v>
      </c>
      <c r="F67" s="39">
        <v>0</v>
      </c>
      <c r="G67" s="51">
        <v>0</v>
      </c>
      <c r="H67" s="51">
        <v>0</v>
      </c>
      <c r="I67" s="34" t="s">
        <v>103</v>
      </c>
      <c r="J67" s="2"/>
    </row>
    <row r="68" spans="2:10">
      <c r="B68" s="2"/>
      <c r="C68" s="37" t="s">
        <v>178</v>
      </c>
      <c r="D68" s="38"/>
      <c r="E68" s="34" t="s">
        <v>103</v>
      </c>
      <c r="F68" s="39">
        <v>0</v>
      </c>
      <c r="G68" s="51">
        <v>0</v>
      </c>
      <c r="H68" s="51">
        <v>0</v>
      </c>
      <c r="I68" s="34" t="s">
        <v>103</v>
      </c>
      <c r="J68" s="2"/>
    </row>
    <row r="69" spans="2:10">
      <c r="B69" s="2"/>
      <c r="C69" s="37" t="s">
        <v>179</v>
      </c>
      <c r="D69" s="38"/>
      <c r="E69" s="34" t="s">
        <v>103</v>
      </c>
      <c r="F69" s="39">
        <v>0</v>
      </c>
      <c r="G69" s="51">
        <v>0</v>
      </c>
      <c r="H69" s="51">
        <v>0</v>
      </c>
      <c r="I69" s="34" t="s">
        <v>103</v>
      </c>
      <c r="J69" s="2"/>
    </row>
    <row r="70" spans="2:10">
      <c r="B70" s="2"/>
      <c r="C70" s="37" t="s">
        <v>180</v>
      </c>
      <c r="D70" s="38"/>
      <c r="E70" s="34" t="s">
        <v>103</v>
      </c>
      <c r="F70" s="39">
        <v>0</v>
      </c>
      <c r="G70" s="51">
        <v>0</v>
      </c>
      <c r="H70" s="51">
        <v>0</v>
      </c>
      <c r="I70" s="34" t="s">
        <v>103</v>
      </c>
      <c r="J70" s="2"/>
    </row>
    <row r="71" spans="2:10">
      <c r="B71" s="2"/>
      <c r="C71" s="37" t="s">
        <v>181</v>
      </c>
      <c r="D71" s="38"/>
      <c r="E71" s="34" t="s">
        <v>103</v>
      </c>
      <c r="F71" s="39">
        <v>0</v>
      </c>
      <c r="G71" s="51">
        <v>0</v>
      </c>
      <c r="H71" s="51">
        <v>0</v>
      </c>
      <c r="I71" s="34" t="s">
        <v>103</v>
      </c>
      <c r="J71" s="2"/>
    </row>
    <row r="72" spans="2:10">
      <c r="B72" s="2"/>
      <c r="C72" s="37" t="s">
        <v>182</v>
      </c>
      <c r="D72" s="38"/>
      <c r="E72" s="34" t="s">
        <v>103</v>
      </c>
      <c r="F72" s="39">
        <v>0</v>
      </c>
      <c r="G72" s="51">
        <v>0</v>
      </c>
      <c r="H72" s="51">
        <v>0</v>
      </c>
      <c r="I72" s="34" t="s">
        <v>103</v>
      </c>
      <c r="J72" s="2"/>
    </row>
    <row r="73" spans="2:10">
      <c r="B73" s="2"/>
      <c r="C73" s="37" t="s">
        <v>183</v>
      </c>
      <c r="D73" s="38"/>
      <c r="E73" s="34" t="s">
        <v>103</v>
      </c>
      <c r="F73" s="39">
        <v>0</v>
      </c>
      <c r="G73" s="51">
        <v>0</v>
      </c>
      <c r="H73" s="51">
        <v>0</v>
      </c>
      <c r="I73" s="34" t="s">
        <v>103</v>
      </c>
      <c r="J73" s="2"/>
    </row>
    <row r="74" spans="2:10">
      <c r="B74" s="2"/>
      <c r="C74" s="37" t="s">
        <v>184</v>
      </c>
      <c r="D74" s="38"/>
      <c r="E74" s="34" t="s">
        <v>103</v>
      </c>
      <c r="F74" s="39">
        <v>0</v>
      </c>
      <c r="G74" s="51">
        <v>0</v>
      </c>
      <c r="H74" s="51">
        <v>0</v>
      </c>
      <c r="I74" s="34" t="s">
        <v>103</v>
      </c>
      <c r="J74" s="2"/>
    </row>
    <row r="75" spans="2:10">
      <c r="B75" s="2"/>
      <c r="C75" s="37" t="s">
        <v>185</v>
      </c>
      <c r="D75" s="38"/>
      <c r="E75" s="34" t="s">
        <v>103</v>
      </c>
      <c r="F75" s="39">
        <v>0</v>
      </c>
      <c r="G75" s="51">
        <v>0</v>
      </c>
      <c r="H75" s="51">
        <v>0</v>
      </c>
      <c r="I75" s="34" t="s">
        <v>103</v>
      </c>
      <c r="J75" s="2"/>
    </row>
    <row r="76" spans="2:10">
      <c r="B76" s="2"/>
      <c r="C76" s="37" t="s">
        <v>186</v>
      </c>
      <c r="D76" s="38"/>
      <c r="E76" s="34" t="s">
        <v>103</v>
      </c>
      <c r="F76" s="39">
        <v>0</v>
      </c>
      <c r="G76" s="51">
        <v>0</v>
      </c>
      <c r="H76" s="51">
        <v>0</v>
      </c>
      <c r="I76" s="34" t="s">
        <v>103</v>
      </c>
      <c r="J76" s="2"/>
    </row>
    <row r="77" spans="2:10">
      <c r="B77" s="2"/>
      <c r="C77" s="37" t="s">
        <v>187</v>
      </c>
      <c r="D77" s="38"/>
      <c r="E77" s="34" t="s">
        <v>103</v>
      </c>
      <c r="F77" s="39">
        <v>0</v>
      </c>
      <c r="G77" s="51">
        <v>0</v>
      </c>
      <c r="H77" s="51">
        <v>0</v>
      </c>
      <c r="I77" s="34" t="s">
        <v>103</v>
      </c>
      <c r="J77" s="2"/>
    </row>
    <row r="78" spans="2:10">
      <c r="B78" s="2"/>
      <c r="C78" s="37" t="s">
        <v>188</v>
      </c>
      <c r="D78" s="38"/>
      <c r="E78" s="34" t="s">
        <v>103</v>
      </c>
      <c r="F78" s="39">
        <v>0</v>
      </c>
      <c r="G78" s="51">
        <v>0</v>
      </c>
      <c r="H78" s="51">
        <v>0</v>
      </c>
      <c r="I78" s="34" t="s">
        <v>103</v>
      </c>
      <c r="J78" s="2"/>
    </row>
    <row r="79" spans="2:10">
      <c r="B79" s="2"/>
      <c r="C79" s="37" t="s">
        <v>189</v>
      </c>
      <c r="D79" s="38"/>
      <c r="E79" s="34" t="s">
        <v>103</v>
      </c>
      <c r="F79" s="39">
        <v>0</v>
      </c>
      <c r="G79" s="51">
        <v>0</v>
      </c>
      <c r="H79" s="51">
        <v>0</v>
      </c>
      <c r="I79" s="34" t="s">
        <v>103</v>
      </c>
      <c r="J79" s="2"/>
    </row>
    <row r="80" spans="2:10">
      <c r="B80" s="2"/>
      <c r="C80" s="37" t="s">
        <v>190</v>
      </c>
      <c r="D80" s="38"/>
      <c r="E80" s="34" t="s">
        <v>103</v>
      </c>
      <c r="F80" s="39">
        <v>0</v>
      </c>
      <c r="G80" s="51">
        <v>0</v>
      </c>
      <c r="H80" s="51">
        <v>0</v>
      </c>
      <c r="I80" s="34" t="s">
        <v>103</v>
      </c>
      <c r="J80" s="2"/>
    </row>
    <row r="81" spans="2:10">
      <c r="B81" s="2"/>
      <c r="C81" s="37" t="s">
        <v>191</v>
      </c>
      <c r="D81" s="38"/>
      <c r="E81" s="34" t="s">
        <v>103</v>
      </c>
      <c r="F81" s="39">
        <v>0</v>
      </c>
      <c r="G81" s="51">
        <v>0</v>
      </c>
      <c r="H81" s="51">
        <v>0</v>
      </c>
      <c r="I81" s="34" t="s">
        <v>103</v>
      </c>
      <c r="J81" s="2"/>
    </row>
    <row r="82" spans="2:10">
      <c r="B82" s="2"/>
      <c r="C82" s="37" t="s">
        <v>192</v>
      </c>
      <c r="D82" s="38"/>
      <c r="E82" s="34" t="s">
        <v>103</v>
      </c>
      <c r="F82" s="39">
        <v>0</v>
      </c>
      <c r="G82" s="51">
        <v>0</v>
      </c>
      <c r="H82" s="51">
        <v>0</v>
      </c>
      <c r="I82" s="34" t="s">
        <v>103</v>
      </c>
      <c r="J82" s="2"/>
    </row>
    <row r="83" spans="2:10">
      <c r="B83" s="2"/>
      <c r="C83" s="37" t="s">
        <v>193</v>
      </c>
      <c r="D83" s="38"/>
      <c r="E83" s="34" t="s">
        <v>103</v>
      </c>
      <c r="F83" s="39">
        <v>0</v>
      </c>
      <c r="G83" s="51">
        <v>0</v>
      </c>
      <c r="H83" s="51">
        <v>0</v>
      </c>
      <c r="I83" s="34" t="s">
        <v>103</v>
      </c>
      <c r="J83" s="2"/>
    </row>
    <row r="84" spans="2:10">
      <c r="B84" s="2"/>
      <c r="C84" s="37" t="s">
        <v>194</v>
      </c>
      <c r="D84" s="38"/>
      <c r="E84" s="34" t="s">
        <v>103</v>
      </c>
      <c r="F84" s="39">
        <v>0</v>
      </c>
      <c r="G84" s="51">
        <v>0</v>
      </c>
      <c r="H84" s="51">
        <v>0</v>
      </c>
      <c r="I84" s="34" t="s">
        <v>103</v>
      </c>
      <c r="J84" s="2"/>
    </row>
    <row r="85" spans="2:10">
      <c r="B85" s="2"/>
      <c r="C85" s="37" t="s">
        <v>195</v>
      </c>
      <c r="D85" s="38"/>
      <c r="E85" s="34" t="s">
        <v>103</v>
      </c>
      <c r="F85" s="39">
        <v>0</v>
      </c>
      <c r="G85" s="51">
        <v>0</v>
      </c>
      <c r="H85" s="51">
        <v>0</v>
      </c>
      <c r="I85" s="34" t="s">
        <v>103</v>
      </c>
      <c r="J85" s="2"/>
    </row>
    <row r="86" spans="2:10">
      <c r="B86" s="2"/>
      <c r="C86" s="37" t="s">
        <v>196</v>
      </c>
      <c r="D86" s="38"/>
      <c r="E86" s="34" t="s">
        <v>103</v>
      </c>
      <c r="F86" s="39">
        <v>0</v>
      </c>
      <c r="G86" s="51">
        <v>0</v>
      </c>
      <c r="H86" s="51">
        <v>0</v>
      </c>
      <c r="I86" s="34" t="s">
        <v>103</v>
      </c>
      <c r="J86" s="2"/>
    </row>
    <row r="87" spans="2:10">
      <c r="B87" s="2"/>
      <c r="C87" s="37" t="s">
        <v>197</v>
      </c>
      <c r="D87" s="38"/>
      <c r="E87" s="34" t="s">
        <v>103</v>
      </c>
      <c r="F87" s="39">
        <v>0</v>
      </c>
      <c r="G87" s="51">
        <v>0</v>
      </c>
      <c r="H87" s="51">
        <v>0</v>
      </c>
      <c r="I87" s="34" t="s">
        <v>103</v>
      </c>
      <c r="J87" s="2"/>
    </row>
    <row r="88" spans="2:10">
      <c r="B88" s="2"/>
      <c r="C88" s="37" t="s">
        <v>198</v>
      </c>
      <c r="D88" s="38"/>
      <c r="E88" s="34" t="s">
        <v>103</v>
      </c>
      <c r="F88" s="39">
        <v>0</v>
      </c>
      <c r="G88" s="51">
        <v>0</v>
      </c>
      <c r="H88" s="51">
        <v>0</v>
      </c>
      <c r="I88" s="34" t="s">
        <v>103</v>
      </c>
      <c r="J88" s="2"/>
    </row>
    <row r="89" spans="2:10">
      <c r="B89" s="2"/>
      <c r="C89" s="37" t="s">
        <v>199</v>
      </c>
      <c r="D89" s="38"/>
      <c r="E89" s="34" t="s">
        <v>103</v>
      </c>
      <c r="F89" s="39">
        <v>0</v>
      </c>
      <c r="G89" s="51">
        <v>0</v>
      </c>
      <c r="H89" s="51">
        <v>0</v>
      </c>
      <c r="I89" s="34" t="s">
        <v>103</v>
      </c>
      <c r="J89" s="2"/>
    </row>
    <row r="90" spans="2:10">
      <c r="B90" s="2"/>
      <c r="C90" s="37" t="s">
        <v>200</v>
      </c>
      <c r="D90" s="38"/>
      <c r="E90" s="34" t="s">
        <v>103</v>
      </c>
      <c r="F90" s="39">
        <v>0</v>
      </c>
      <c r="G90" s="51">
        <v>0</v>
      </c>
      <c r="H90" s="51">
        <v>0</v>
      </c>
      <c r="I90" s="34" t="s">
        <v>103</v>
      </c>
      <c r="J90" s="2"/>
    </row>
    <row r="91" spans="2:10">
      <c r="B91" s="2"/>
      <c r="C91" s="37" t="s">
        <v>201</v>
      </c>
      <c r="D91" s="38"/>
      <c r="E91" s="34" t="s">
        <v>103</v>
      </c>
      <c r="F91" s="39">
        <v>0</v>
      </c>
      <c r="G91" s="51">
        <v>0</v>
      </c>
      <c r="H91" s="51">
        <v>0</v>
      </c>
      <c r="I91" s="34" t="s">
        <v>103</v>
      </c>
      <c r="J91" s="2"/>
    </row>
    <row r="92" spans="2:10">
      <c r="B92" s="2"/>
      <c r="C92" s="37" t="s">
        <v>202</v>
      </c>
      <c r="D92" s="38"/>
      <c r="E92" s="34" t="s">
        <v>103</v>
      </c>
      <c r="F92" s="39">
        <v>0</v>
      </c>
      <c r="G92" s="51">
        <v>0</v>
      </c>
      <c r="H92" s="51">
        <v>0</v>
      </c>
      <c r="I92" s="34" t="s">
        <v>103</v>
      </c>
      <c r="J92" s="2"/>
    </row>
    <row r="93" spans="2:10">
      <c r="B93" s="2"/>
      <c r="C93" s="37" t="s">
        <v>203</v>
      </c>
      <c r="D93" s="38"/>
      <c r="E93" s="34" t="s">
        <v>103</v>
      </c>
      <c r="F93" s="39">
        <v>0</v>
      </c>
      <c r="G93" s="51">
        <v>0</v>
      </c>
      <c r="H93" s="51">
        <v>0</v>
      </c>
      <c r="I93" s="34" t="s">
        <v>103</v>
      </c>
      <c r="J93" s="2"/>
    </row>
    <row r="94" spans="2:10">
      <c r="B94" s="2"/>
      <c r="C94" s="37" t="s">
        <v>204</v>
      </c>
      <c r="D94" s="38"/>
      <c r="E94" s="34" t="s">
        <v>103</v>
      </c>
      <c r="F94" s="39">
        <v>0</v>
      </c>
      <c r="G94" s="51">
        <v>0</v>
      </c>
      <c r="H94" s="51">
        <v>0</v>
      </c>
      <c r="I94" s="34" t="s">
        <v>103</v>
      </c>
      <c r="J94" s="2"/>
    </row>
    <row r="95" spans="2:10">
      <c r="B95" s="2"/>
      <c r="C95" s="37" t="s">
        <v>205</v>
      </c>
      <c r="D95" s="38"/>
      <c r="E95" s="34" t="s">
        <v>103</v>
      </c>
      <c r="F95" s="39">
        <v>0</v>
      </c>
      <c r="G95" s="51">
        <v>0</v>
      </c>
      <c r="H95" s="51">
        <v>0</v>
      </c>
      <c r="I95" s="34" t="s">
        <v>103</v>
      </c>
      <c r="J95" s="2"/>
    </row>
    <row r="96" spans="2:10">
      <c r="B96" s="2"/>
      <c r="C96" s="37" t="s">
        <v>206</v>
      </c>
      <c r="D96" s="38"/>
      <c r="E96" s="34" t="s">
        <v>103</v>
      </c>
      <c r="F96" s="39">
        <v>0</v>
      </c>
      <c r="G96" s="51">
        <v>0</v>
      </c>
      <c r="H96" s="51">
        <v>0</v>
      </c>
      <c r="I96" s="34" t="s">
        <v>103</v>
      </c>
      <c r="J96" s="2"/>
    </row>
    <row r="97" spans="2:10">
      <c r="B97" s="2"/>
      <c r="C97" s="37" t="s">
        <v>207</v>
      </c>
      <c r="D97" s="38"/>
      <c r="E97" s="34" t="s">
        <v>103</v>
      </c>
      <c r="F97" s="39">
        <v>0</v>
      </c>
      <c r="G97" s="51">
        <v>0</v>
      </c>
      <c r="H97" s="51">
        <v>0</v>
      </c>
      <c r="I97" s="34" t="s">
        <v>103</v>
      </c>
      <c r="J97" s="2"/>
    </row>
    <row r="98" spans="2:10">
      <c r="B98" s="2"/>
      <c r="C98" s="37" t="s">
        <v>208</v>
      </c>
      <c r="D98" s="38"/>
      <c r="E98" s="34" t="s">
        <v>103</v>
      </c>
      <c r="F98" s="39">
        <v>0</v>
      </c>
      <c r="G98" s="51">
        <v>0</v>
      </c>
      <c r="H98" s="51">
        <v>0</v>
      </c>
      <c r="I98" s="34" t="s">
        <v>103</v>
      </c>
      <c r="J98" s="2"/>
    </row>
    <row r="99" spans="2:10">
      <c r="B99" s="2"/>
      <c r="C99" s="37" t="s">
        <v>209</v>
      </c>
      <c r="D99" s="38"/>
      <c r="E99" s="34" t="s">
        <v>103</v>
      </c>
      <c r="F99" s="39">
        <v>0</v>
      </c>
      <c r="G99" s="51">
        <v>0</v>
      </c>
      <c r="H99" s="51">
        <v>0</v>
      </c>
      <c r="I99" s="34" t="s">
        <v>103</v>
      </c>
      <c r="J99" s="2"/>
    </row>
    <row r="100" spans="2:10">
      <c r="B100" s="2"/>
      <c r="C100" s="37" t="s">
        <v>210</v>
      </c>
      <c r="D100" s="38"/>
      <c r="E100" s="34" t="s">
        <v>103</v>
      </c>
      <c r="F100" s="39">
        <v>0</v>
      </c>
      <c r="G100" s="51">
        <v>0</v>
      </c>
      <c r="H100" s="51">
        <v>0</v>
      </c>
      <c r="I100" s="34" t="s">
        <v>103</v>
      </c>
      <c r="J100" s="2"/>
    </row>
    <row r="101" spans="2:10">
      <c r="B101" s="2"/>
      <c r="C101" s="37" t="s">
        <v>211</v>
      </c>
      <c r="D101" s="38"/>
      <c r="E101" s="34" t="s">
        <v>103</v>
      </c>
      <c r="F101" s="39">
        <v>0</v>
      </c>
      <c r="G101" s="51">
        <v>0</v>
      </c>
      <c r="H101" s="51">
        <v>0</v>
      </c>
      <c r="I101" s="34" t="s">
        <v>103</v>
      </c>
      <c r="J101" s="2"/>
    </row>
    <row r="102" spans="2:10">
      <c r="B102" s="2"/>
      <c r="C102" s="37" t="s">
        <v>212</v>
      </c>
      <c r="D102" s="38"/>
      <c r="E102" s="34" t="s">
        <v>103</v>
      </c>
      <c r="F102" s="39">
        <v>0</v>
      </c>
      <c r="G102" s="51">
        <v>0</v>
      </c>
      <c r="H102" s="51">
        <v>0</v>
      </c>
      <c r="I102" s="34" t="s">
        <v>103</v>
      </c>
      <c r="J102" s="2"/>
    </row>
    <row r="103" spans="2:10">
      <c r="B103" s="2"/>
      <c r="C103" s="37" t="s">
        <v>213</v>
      </c>
      <c r="D103" s="38"/>
      <c r="E103" s="34" t="s">
        <v>103</v>
      </c>
      <c r="F103" s="39">
        <v>0</v>
      </c>
      <c r="G103" s="51">
        <v>0</v>
      </c>
      <c r="H103" s="51">
        <v>0</v>
      </c>
      <c r="I103" s="34" t="s">
        <v>103</v>
      </c>
      <c r="J103" s="2"/>
    </row>
    <row r="104" spans="2:10">
      <c r="B104" s="2"/>
      <c r="C104" s="37" t="s">
        <v>214</v>
      </c>
      <c r="D104" s="38"/>
      <c r="E104" s="34" t="s">
        <v>103</v>
      </c>
      <c r="F104" s="39">
        <v>0</v>
      </c>
      <c r="G104" s="51">
        <v>0</v>
      </c>
      <c r="H104" s="51">
        <v>0</v>
      </c>
      <c r="I104" s="34" t="s">
        <v>103</v>
      </c>
      <c r="J104" s="2"/>
    </row>
    <row r="105" spans="2:10">
      <c r="B105" s="2"/>
      <c r="C105" s="37" t="s">
        <v>215</v>
      </c>
      <c r="D105" s="38"/>
      <c r="E105" s="34" t="s">
        <v>103</v>
      </c>
      <c r="F105" s="39">
        <v>0</v>
      </c>
      <c r="G105" s="51">
        <v>0</v>
      </c>
      <c r="H105" s="51">
        <v>0</v>
      </c>
      <c r="I105" s="34" t="s">
        <v>103</v>
      </c>
      <c r="J105" s="2"/>
    </row>
    <row r="106" spans="2:10">
      <c r="B106" s="2"/>
      <c r="C106" s="37" t="s">
        <v>216</v>
      </c>
      <c r="D106" s="38"/>
      <c r="E106" s="34" t="s">
        <v>103</v>
      </c>
      <c r="F106" s="39">
        <v>0</v>
      </c>
      <c r="G106" s="51">
        <v>0</v>
      </c>
      <c r="H106" s="51">
        <v>0</v>
      </c>
      <c r="I106" s="34" t="s">
        <v>103</v>
      </c>
      <c r="J106" s="2"/>
    </row>
    <row r="107" spans="2:10">
      <c r="B107" s="2"/>
      <c r="C107" s="37" t="s">
        <v>217</v>
      </c>
      <c r="D107" s="38"/>
      <c r="E107" s="34" t="s">
        <v>103</v>
      </c>
      <c r="F107" s="39">
        <v>0</v>
      </c>
      <c r="G107" s="51">
        <v>0</v>
      </c>
      <c r="H107" s="51">
        <v>0</v>
      </c>
      <c r="I107" s="34" t="s">
        <v>103</v>
      </c>
      <c r="J107" s="2"/>
    </row>
    <row r="108" spans="2:10">
      <c r="B108" s="2"/>
      <c r="C108" s="37" t="s">
        <v>218</v>
      </c>
      <c r="D108" s="38"/>
      <c r="E108" s="34" t="s">
        <v>103</v>
      </c>
      <c r="F108" s="39">
        <v>0</v>
      </c>
      <c r="G108" s="51">
        <v>0</v>
      </c>
      <c r="H108" s="51">
        <v>0</v>
      </c>
      <c r="I108" s="34" t="s">
        <v>103</v>
      </c>
      <c r="J108" s="2"/>
    </row>
    <row r="109" spans="2:10">
      <c r="B109" s="2"/>
      <c r="C109" s="37" t="s">
        <v>219</v>
      </c>
      <c r="D109" s="38"/>
      <c r="E109" s="34" t="s">
        <v>103</v>
      </c>
      <c r="F109" s="39">
        <v>0</v>
      </c>
      <c r="G109" s="51">
        <v>0</v>
      </c>
      <c r="H109" s="51">
        <v>0</v>
      </c>
      <c r="I109" s="34" t="s">
        <v>103</v>
      </c>
      <c r="J109" s="2"/>
    </row>
    <row r="110" spans="2:10">
      <c r="B110" s="2"/>
      <c r="C110" s="37" t="s">
        <v>220</v>
      </c>
      <c r="D110" s="38"/>
      <c r="E110" s="34" t="s">
        <v>103</v>
      </c>
      <c r="F110" s="39">
        <v>0</v>
      </c>
      <c r="G110" s="51">
        <v>0</v>
      </c>
      <c r="H110" s="51">
        <v>0</v>
      </c>
      <c r="I110" s="34" t="s">
        <v>103</v>
      </c>
      <c r="J110" s="2"/>
    </row>
    <row r="111" spans="2:10">
      <c r="B111" s="2"/>
      <c r="C111" s="37" t="s">
        <v>221</v>
      </c>
      <c r="D111" s="38"/>
      <c r="E111" s="34" t="s">
        <v>103</v>
      </c>
      <c r="F111" s="39">
        <v>0</v>
      </c>
      <c r="G111" s="51">
        <v>0</v>
      </c>
      <c r="H111" s="51">
        <v>0</v>
      </c>
      <c r="I111" s="34" t="s">
        <v>103</v>
      </c>
      <c r="J111" s="2"/>
    </row>
    <row r="112" spans="2:10">
      <c r="B112" s="2"/>
      <c r="C112" s="37" t="s">
        <v>222</v>
      </c>
      <c r="D112" s="38"/>
      <c r="E112" s="34" t="s">
        <v>103</v>
      </c>
      <c r="F112" s="39">
        <v>0</v>
      </c>
      <c r="G112" s="51">
        <v>0</v>
      </c>
      <c r="H112" s="51">
        <v>0</v>
      </c>
      <c r="I112" s="34" t="s">
        <v>103</v>
      </c>
      <c r="J112" s="2"/>
    </row>
    <row r="113" spans="1:10">
      <c r="B113" s="2"/>
      <c r="C113" s="37" t="s">
        <v>223</v>
      </c>
      <c r="D113" s="38"/>
      <c r="E113" s="34" t="s">
        <v>103</v>
      </c>
      <c r="F113" s="39">
        <v>0</v>
      </c>
      <c r="G113" s="51">
        <v>0</v>
      </c>
      <c r="H113" s="51">
        <v>0</v>
      </c>
      <c r="I113" s="34" t="s">
        <v>103</v>
      </c>
      <c r="J113" s="2"/>
    </row>
    <row r="114" spans="1:10" s="14" customFormat="1">
      <c r="B114" s="5"/>
      <c r="C114" s="49" t="s">
        <v>224</v>
      </c>
      <c r="D114" s="50"/>
      <c r="E114" s="34" t="s">
        <v>103</v>
      </c>
      <c r="F114" s="39">
        <v>0</v>
      </c>
      <c r="G114" s="51">
        <v>0</v>
      </c>
      <c r="H114" s="51">
        <v>0</v>
      </c>
      <c r="I114" s="34" t="s">
        <v>103</v>
      </c>
      <c r="J114" s="5"/>
    </row>
    <row r="115" spans="1:10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39">
        <v>0</v>
      </c>
      <c r="G115" s="51">
        <v>0</v>
      </c>
      <c r="H115" s="51">
        <v>0</v>
      </c>
      <c r="I115" s="34" t="s">
        <v>103</v>
      </c>
      <c r="J115" s="5"/>
    </row>
    <row r="116" spans="1:10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</row>
  </sheetData>
  <sheetProtection sheet="1" formatColumns="0" formatRows="0" insertRows="0" deleteRows="0" selectLockedCells="1"/>
  <mergeCells count="611">
    <mergeCell ref="C7:I7"/>
    <mergeCell ref="C9:I9"/>
    <mergeCell ref="C10:I10"/>
    <mergeCell ref="C11:I11"/>
    <mergeCell ref="C13:I13"/>
    <mergeCell ref="I14:I15"/>
    <mergeCell ref="C16:D16"/>
    <mergeCell ref="E16"/>
    <mergeCell ref="F16"/>
    <mergeCell ref="G16"/>
    <mergeCell ref="H16"/>
    <mergeCell ref="I16"/>
    <mergeCell ref="C14:D15"/>
    <mergeCell ref="E14:E15"/>
    <mergeCell ref="F14:F15"/>
    <mergeCell ref="G14:G15"/>
    <mergeCell ref="H14:H15"/>
    <mergeCell ref="I17"/>
    <mergeCell ref="C18:D18"/>
    <mergeCell ref="E18"/>
    <mergeCell ref="F18"/>
    <mergeCell ref="G18"/>
    <mergeCell ref="H18"/>
    <mergeCell ref="I18"/>
    <mergeCell ref="C17:D17"/>
    <mergeCell ref="E17"/>
    <mergeCell ref="F17"/>
    <mergeCell ref="G17"/>
    <mergeCell ref="H17"/>
    <mergeCell ref="I19"/>
    <mergeCell ref="C20:D20"/>
    <mergeCell ref="E20"/>
    <mergeCell ref="F20"/>
    <mergeCell ref="G20"/>
    <mergeCell ref="H20"/>
    <mergeCell ref="I20"/>
    <mergeCell ref="C19:D19"/>
    <mergeCell ref="E19"/>
    <mergeCell ref="F19"/>
    <mergeCell ref="G19"/>
    <mergeCell ref="H19"/>
    <mergeCell ref="I21"/>
    <mergeCell ref="C22:D22"/>
    <mergeCell ref="E22"/>
    <mergeCell ref="F22"/>
    <mergeCell ref="G22"/>
    <mergeCell ref="H22"/>
    <mergeCell ref="I22"/>
    <mergeCell ref="C21:D21"/>
    <mergeCell ref="E21"/>
    <mergeCell ref="F21"/>
    <mergeCell ref="G21"/>
    <mergeCell ref="H21"/>
    <mergeCell ref="I23"/>
    <mergeCell ref="C24:D24"/>
    <mergeCell ref="E24"/>
    <mergeCell ref="F24"/>
    <mergeCell ref="G24"/>
    <mergeCell ref="H24"/>
    <mergeCell ref="I24"/>
    <mergeCell ref="C23:D23"/>
    <mergeCell ref="E23"/>
    <mergeCell ref="F23"/>
    <mergeCell ref="G23"/>
    <mergeCell ref="H23"/>
    <mergeCell ref="I25"/>
    <mergeCell ref="C26:D26"/>
    <mergeCell ref="E26"/>
    <mergeCell ref="F26"/>
    <mergeCell ref="G26"/>
    <mergeCell ref="H26"/>
    <mergeCell ref="I26"/>
    <mergeCell ref="C25:D25"/>
    <mergeCell ref="E25"/>
    <mergeCell ref="F25"/>
    <mergeCell ref="G25"/>
    <mergeCell ref="H25"/>
    <mergeCell ref="I27"/>
    <mergeCell ref="C28:D28"/>
    <mergeCell ref="E28"/>
    <mergeCell ref="F28"/>
    <mergeCell ref="G28"/>
    <mergeCell ref="H28"/>
    <mergeCell ref="I28"/>
    <mergeCell ref="C27:D27"/>
    <mergeCell ref="E27"/>
    <mergeCell ref="F27"/>
    <mergeCell ref="G27"/>
    <mergeCell ref="H27"/>
    <mergeCell ref="I29"/>
    <mergeCell ref="C30:D30"/>
    <mergeCell ref="E30"/>
    <mergeCell ref="F30"/>
    <mergeCell ref="G30"/>
    <mergeCell ref="H30"/>
    <mergeCell ref="I30"/>
    <mergeCell ref="C29:D29"/>
    <mergeCell ref="E29"/>
    <mergeCell ref="F29"/>
    <mergeCell ref="G29"/>
    <mergeCell ref="H29"/>
    <mergeCell ref="I31"/>
    <mergeCell ref="C32:D32"/>
    <mergeCell ref="E32"/>
    <mergeCell ref="F32"/>
    <mergeCell ref="G32"/>
    <mergeCell ref="H32"/>
    <mergeCell ref="I32"/>
    <mergeCell ref="C31:D31"/>
    <mergeCell ref="E31"/>
    <mergeCell ref="F31"/>
    <mergeCell ref="G31"/>
    <mergeCell ref="H31"/>
    <mergeCell ref="I33"/>
    <mergeCell ref="C34:D34"/>
    <mergeCell ref="E34"/>
    <mergeCell ref="F34"/>
    <mergeCell ref="G34"/>
    <mergeCell ref="H34"/>
    <mergeCell ref="I34"/>
    <mergeCell ref="C33:D33"/>
    <mergeCell ref="E33"/>
    <mergeCell ref="F33"/>
    <mergeCell ref="G33"/>
    <mergeCell ref="H33"/>
    <mergeCell ref="I35"/>
    <mergeCell ref="C36:D36"/>
    <mergeCell ref="E36"/>
    <mergeCell ref="F36"/>
    <mergeCell ref="G36"/>
    <mergeCell ref="H36"/>
    <mergeCell ref="I36"/>
    <mergeCell ref="C35:D35"/>
    <mergeCell ref="E35"/>
    <mergeCell ref="F35"/>
    <mergeCell ref="G35"/>
    <mergeCell ref="H35"/>
    <mergeCell ref="I37"/>
    <mergeCell ref="C38:D38"/>
    <mergeCell ref="E38"/>
    <mergeCell ref="F38"/>
    <mergeCell ref="G38"/>
    <mergeCell ref="H38"/>
    <mergeCell ref="I38"/>
    <mergeCell ref="C37:D37"/>
    <mergeCell ref="E37"/>
    <mergeCell ref="F37"/>
    <mergeCell ref="G37"/>
    <mergeCell ref="H37"/>
    <mergeCell ref="I39"/>
    <mergeCell ref="C40:D40"/>
    <mergeCell ref="E40"/>
    <mergeCell ref="F40"/>
    <mergeCell ref="G40"/>
    <mergeCell ref="H40"/>
    <mergeCell ref="I40"/>
    <mergeCell ref="C39:D39"/>
    <mergeCell ref="E39"/>
    <mergeCell ref="F39"/>
    <mergeCell ref="G39"/>
    <mergeCell ref="H39"/>
    <mergeCell ref="I41"/>
    <mergeCell ref="C42:D42"/>
    <mergeCell ref="E42"/>
    <mergeCell ref="F42"/>
    <mergeCell ref="G42"/>
    <mergeCell ref="H42"/>
    <mergeCell ref="I42"/>
    <mergeCell ref="C41:D41"/>
    <mergeCell ref="E41"/>
    <mergeCell ref="F41"/>
    <mergeCell ref="G41"/>
    <mergeCell ref="H41"/>
    <mergeCell ref="I43"/>
    <mergeCell ref="C44:D44"/>
    <mergeCell ref="E44"/>
    <mergeCell ref="F44"/>
    <mergeCell ref="G44"/>
    <mergeCell ref="H44"/>
    <mergeCell ref="I44"/>
    <mergeCell ref="C43:D43"/>
    <mergeCell ref="E43"/>
    <mergeCell ref="F43"/>
    <mergeCell ref="G43"/>
    <mergeCell ref="H43"/>
    <mergeCell ref="I45"/>
    <mergeCell ref="C46:D46"/>
    <mergeCell ref="E46"/>
    <mergeCell ref="F46"/>
    <mergeCell ref="G46"/>
    <mergeCell ref="H46"/>
    <mergeCell ref="I46"/>
    <mergeCell ref="C45:D45"/>
    <mergeCell ref="E45"/>
    <mergeCell ref="F45"/>
    <mergeCell ref="G45"/>
    <mergeCell ref="H45"/>
    <mergeCell ref="I47"/>
    <mergeCell ref="C48:D48"/>
    <mergeCell ref="E48"/>
    <mergeCell ref="F48"/>
    <mergeCell ref="G48"/>
    <mergeCell ref="H48"/>
    <mergeCell ref="I48"/>
    <mergeCell ref="C47:D47"/>
    <mergeCell ref="E47"/>
    <mergeCell ref="F47"/>
    <mergeCell ref="G47"/>
    <mergeCell ref="H47"/>
    <mergeCell ref="I49"/>
    <mergeCell ref="C50:D50"/>
    <mergeCell ref="E50"/>
    <mergeCell ref="F50"/>
    <mergeCell ref="G50"/>
    <mergeCell ref="H50"/>
    <mergeCell ref="I50"/>
    <mergeCell ref="C49:D49"/>
    <mergeCell ref="E49"/>
    <mergeCell ref="F49"/>
    <mergeCell ref="G49"/>
    <mergeCell ref="H49"/>
    <mergeCell ref="I51"/>
    <mergeCell ref="C52:D52"/>
    <mergeCell ref="E52"/>
    <mergeCell ref="F52"/>
    <mergeCell ref="G52"/>
    <mergeCell ref="H52"/>
    <mergeCell ref="I52"/>
    <mergeCell ref="C51:D51"/>
    <mergeCell ref="E51"/>
    <mergeCell ref="F51"/>
    <mergeCell ref="G51"/>
    <mergeCell ref="H51"/>
    <mergeCell ref="I53"/>
    <mergeCell ref="C54:D54"/>
    <mergeCell ref="E54"/>
    <mergeCell ref="F54"/>
    <mergeCell ref="G54"/>
    <mergeCell ref="H54"/>
    <mergeCell ref="I54"/>
    <mergeCell ref="C53:D53"/>
    <mergeCell ref="E53"/>
    <mergeCell ref="F53"/>
    <mergeCell ref="G53"/>
    <mergeCell ref="H53"/>
    <mergeCell ref="I55"/>
    <mergeCell ref="C56:D56"/>
    <mergeCell ref="E56"/>
    <mergeCell ref="F56"/>
    <mergeCell ref="G56"/>
    <mergeCell ref="H56"/>
    <mergeCell ref="I56"/>
    <mergeCell ref="C55:D55"/>
    <mergeCell ref="E55"/>
    <mergeCell ref="F55"/>
    <mergeCell ref="G55"/>
    <mergeCell ref="H55"/>
    <mergeCell ref="I57"/>
    <mergeCell ref="C58:D58"/>
    <mergeCell ref="E58"/>
    <mergeCell ref="F58"/>
    <mergeCell ref="G58"/>
    <mergeCell ref="H58"/>
    <mergeCell ref="I58"/>
    <mergeCell ref="C57:D57"/>
    <mergeCell ref="E57"/>
    <mergeCell ref="F57"/>
    <mergeCell ref="G57"/>
    <mergeCell ref="H57"/>
    <mergeCell ref="I59"/>
    <mergeCell ref="C60:D60"/>
    <mergeCell ref="E60"/>
    <mergeCell ref="F60"/>
    <mergeCell ref="G60"/>
    <mergeCell ref="H60"/>
    <mergeCell ref="I60"/>
    <mergeCell ref="C59:D59"/>
    <mergeCell ref="E59"/>
    <mergeCell ref="F59"/>
    <mergeCell ref="G59"/>
    <mergeCell ref="H59"/>
    <mergeCell ref="I61"/>
    <mergeCell ref="C62:D62"/>
    <mergeCell ref="E62"/>
    <mergeCell ref="F62"/>
    <mergeCell ref="G62"/>
    <mergeCell ref="H62"/>
    <mergeCell ref="I62"/>
    <mergeCell ref="C61:D61"/>
    <mergeCell ref="E61"/>
    <mergeCell ref="F61"/>
    <mergeCell ref="G61"/>
    <mergeCell ref="H61"/>
    <mergeCell ref="I63"/>
    <mergeCell ref="C64:D64"/>
    <mergeCell ref="E64"/>
    <mergeCell ref="F64"/>
    <mergeCell ref="G64"/>
    <mergeCell ref="H64"/>
    <mergeCell ref="I64"/>
    <mergeCell ref="C63:D63"/>
    <mergeCell ref="E63"/>
    <mergeCell ref="F63"/>
    <mergeCell ref="G63"/>
    <mergeCell ref="H63"/>
    <mergeCell ref="I65"/>
    <mergeCell ref="C66:D66"/>
    <mergeCell ref="E66"/>
    <mergeCell ref="F66"/>
    <mergeCell ref="G66"/>
    <mergeCell ref="H66"/>
    <mergeCell ref="I66"/>
    <mergeCell ref="C65:D65"/>
    <mergeCell ref="E65"/>
    <mergeCell ref="F65"/>
    <mergeCell ref="G65"/>
    <mergeCell ref="H65"/>
    <mergeCell ref="I67"/>
    <mergeCell ref="C68:D68"/>
    <mergeCell ref="E68"/>
    <mergeCell ref="F68"/>
    <mergeCell ref="G68"/>
    <mergeCell ref="H68"/>
    <mergeCell ref="I68"/>
    <mergeCell ref="C67:D67"/>
    <mergeCell ref="E67"/>
    <mergeCell ref="F67"/>
    <mergeCell ref="G67"/>
    <mergeCell ref="H67"/>
    <mergeCell ref="I69"/>
    <mergeCell ref="C70:D70"/>
    <mergeCell ref="E70"/>
    <mergeCell ref="F70"/>
    <mergeCell ref="G70"/>
    <mergeCell ref="H70"/>
    <mergeCell ref="I70"/>
    <mergeCell ref="C69:D69"/>
    <mergeCell ref="E69"/>
    <mergeCell ref="F69"/>
    <mergeCell ref="G69"/>
    <mergeCell ref="H69"/>
    <mergeCell ref="I71"/>
    <mergeCell ref="C72:D72"/>
    <mergeCell ref="E72"/>
    <mergeCell ref="F72"/>
    <mergeCell ref="G72"/>
    <mergeCell ref="H72"/>
    <mergeCell ref="I72"/>
    <mergeCell ref="C71:D71"/>
    <mergeCell ref="E71"/>
    <mergeCell ref="F71"/>
    <mergeCell ref="G71"/>
    <mergeCell ref="H71"/>
    <mergeCell ref="I73"/>
    <mergeCell ref="C74:D74"/>
    <mergeCell ref="E74"/>
    <mergeCell ref="F74"/>
    <mergeCell ref="G74"/>
    <mergeCell ref="H74"/>
    <mergeCell ref="I74"/>
    <mergeCell ref="C73:D73"/>
    <mergeCell ref="E73"/>
    <mergeCell ref="F73"/>
    <mergeCell ref="G73"/>
    <mergeCell ref="H73"/>
    <mergeCell ref="I75"/>
    <mergeCell ref="C76:D76"/>
    <mergeCell ref="E76"/>
    <mergeCell ref="F76"/>
    <mergeCell ref="G76"/>
    <mergeCell ref="H76"/>
    <mergeCell ref="I76"/>
    <mergeCell ref="C75:D75"/>
    <mergeCell ref="E75"/>
    <mergeCell ref="F75"/>
    <mergeCell ref="G75"/>
    <mergeCell ref="H75"/>
    <mergeCell ref="I77"/>
    <mergeCell ref="C78:D78"/>
    <mergeCell ref="E78"/>
    <mergeCell ref="F78"/>
    <mergeCell ref="G78"/>
    <mergeCell ref="H78"/>
    <mergeCell ref="I78"/>
    <mergeCell ref="C77:D77"/>
    <mergeCell ref="E77"/>
    <mergeCell ref="F77"/>
    <mergeCell ref="G77"/>
    <mergeCell ref="H77"/>
    <mergeCell ref="I79"/>
    <mergeCell ref="C80:D80"/>
    <mergeCell ref="E80"/>
    <mergeCell ref="F80"/>
    <mergeCell ref="G80"/>
    <mergeCell ref="H80"/>
    <mergeCell ref="I80"/>
    <mergeCell ref="C79:D79"/>
    <mergeCell ref="E79"/>
    <mergeCell ref="F79"/>
    <mergeCell ref="G79"/>
    <mergeCell ref="H79"/>
    <mergeCell ref="I81"/>
    <mergeCell ref="C82:D82"/>
    <mergeCell ref="E82"/>
    <mergeCell ref="F82"/>
    <mergeCell ref="G82"/>
    <mergeCell ref="H82"/>
    <mergeCell ref="I82"/>
    <mergeCell ref="C81:D81"/>
    <mergeCell ref="E81"/>
    <mergeCell ref="F81"/>
    <mergeCell ref="G81"/>
    <mergeCell ref="H81"/>
    <mergeCell ref="I83"/>
    <mergeCell ref="C84:D84"/>
    <mergeCell ref="E84"/>
    <mergeCell ref="F84"/>
    <mergeCell ref="G84"/>
    <mergeCell ref="H84"/>
    <mergeCell ref="I84"/>
    <mergeCell ref="C83:D83"/>
    <mergeCell ref="E83"/>
    <mergeCell ref="F83"/>
    <mergeCell ref="G83"/>
    <mergeCell ref="H83"/>
    <mergeCell ref="I85"/>
    <mergeCell ref="C86:D86"/>
    <mergeCell ref="E86"/>
    <mergeCell ref="F86"/>
    <mergeCell ref="G86"/>
    <mergeCell ref="H86"/>
    <mergeCell ref="I86"/>
    <mergeCell ref="C85:D85"/>
    <mergeCell ref="E85"/>
    <mergeCell ref="F85"/>
    <mergeCell ref="G85"/>
    <mergeCell ref="H85"/>
    <mergeCell ref="I87"/>
    <mergeCell ref="C88:D88"/>
    <mergeCell ref="E88"/>
    <mergeCell ref="F88"/>
    <mergeCell ref="G88"/>
    <mergeCell ref="H88"/>
    <mergeCell ref="I88"/>
    <mergeCell ref="C87:D87"/>
    <mergeCell ref="E87"/>
    <mergeCell ref="F87"/>
    <mergeCell ref="G87"/>
    <mergeCell ref="H87"/>
    <mergeCell ref="I89"/>
    <mergeCell ref="C90:D90"/>
    <mergeCell ref="E90"/>
    <mergeCell ref="F90"/>
    <mergeCell ref="G90"/>
    <mergeCell ref="H90"/>
    <mergeCell ref="I90"/>
    <mergeCell ref="C89:D89"/>
    <mergeCell ref="E89"/>
    <mergeCell ref="F89"/>
    <mergeCell ref="G89"/>
    <mergeCell ref="H89"/>
    <mergeCell ref="I91"/>
    <mergeCell ref="C92:D92"/>
    <mergeCell ref="E92"/>
    <mergeCell ref="F92"/>
    <mergeCell ref="G92"/>
    <mergeCell ref="H92"/>
    <mergeCell ref="I92"/>
    <mergeCell ref="C91:D91"/>
    <mergeCell ref="E91"/>
    <mergeCell ref="F91"/>
    <mergeCell ref="G91"/>
    <mergeCell ref="H91"/>
    <mergeCell ref="I93"/>
    <mergeCell ref="C94:D94"/>
    <mergeCell ref="E94"/>
    <mergeCell ref="F94"/>
    <mergeCell ref="G94"/>
    <mergeCell ref="H94"/>
    <mergeCell ref="I94"/>
    <mergeCell ref="C93:D93"/>
    <mergeCell ref="E93"/>
    <mergeCell ref="F93"/>
    <mergeCell ref="G93"/>
    <mergeCell ref="H93"/>
    <mergeCell ref="I95"/>
    <mergeCell ref="C96:D96"/>
    <mergeCell ref="E96"/>
    <mergeCell ref="F96"/>
    <mergeCell ref="G96"/>
    <mergeCell ref="H96"/>
    <mergeCell ref="I96"/>
    <mergeCell ref="C95:D95"/>
    <mergeCell ref="E95"/>
    <mergeCell ref="F95"/>
    <mergeCell ref="G95"/>
    <mergeCell ref="H95"/>
    <mergeCell ref="I97"/>
    <mergeCell ref="C98:D98"/>
    <mergeCell ref="E98"/>
    <mergeCell ref="F98"/>
    <mergeCell ref="G98"/>
    <mergeCell ref="H98"/>
    <mergeCell ref="I98"/>
    <mergeCell ref="C97:D97"/>
    <mergeCell ref="E97"/>
    <mergeCell ref="F97"/>
    <mergeCell ref="G97"/>
    <mergeCell ref="H97"/>
    <mergeCell ref="I99"/>
    <mergeCell ref="C100:D100"/>
    <mergeCell ref="E100"/>
    <mergeCell ref="F100"/>
    <mergeCell ref="G100"/>
    <mergeCell ref="H100"/>
    <mergeCell ref="I100"/>
    <mergeCell ref="C99:D99"/>
    <mergeCell ref="E99"/>
    <mergeCell ref="F99"/>
    <mergeCell ref="G99"/>
    <mergeCell ref="H99"/>
    <mergeCell ref="I101"/>
    <mergeCell ref="C102:D102"/>
    <mergeCell ref="E102"/>
    <mergeCell ref="F102"/>
    <mergeCell ref="G102"/>
    <mergeCell ref="H102"/>
    <mergeCell ref="I102"/>
    <mergeCell ref="C101:D101"/>
    <mergeCell ref="E101"/>
    <mergeCell ref="F101"/>
    <mergeCell ref="G101"/>
    <mergeCell ref="H101"/>
    <mergeCell ref="I103"/>
    <mergeCell ref="C104:D104"/>
    <mergeCell ref="E104"/>
    <mergeCell ref="F104"/>
    <mergeCell ref="G104"/>
    <mergeCell ref="H104"/>
    <mergeCell ref="I104"/>
    <mergeCell ref="C103:D103"/>
    <mergeCell ref="E103"/>
    <mergeCell ref="F103"/>
    <mergeCell ref="G103"/>
    <mergeCell ref="H103"/>
    <mergeCell ref="I105"/>
    <mergeCell ref="C106:D106"/>
    <mergeCell ref="E106"/>
    <mergeCell ref="F106"/>
    <mergeCell ref="G106"/>
    <mergeCell ref="H106"/>
    <mergeCell ref="I106"/>
    <mergeCell ref="C105:D105"/>
    <mergeCell ref="E105"/>
    <mergeCell ref="F105"/>
    <mergeCell ref="G105"/>
    <mergeCell ref="H105"/>
    <mergeCell ref="I107"/>
    <mergeCell ref="C108:D108"/>
    <mergeCell ref="E108"/>
    <mergeCell ref="F108"/>
    <mergeCell ref="G108"/>
    <mergeCell ref="H108"/>
    <mergeCell ref="I108"/>
    <mergeCell ref="C107:D107"/>
    <mergeCell ref="E107"/>
    <mergeCell ref="F107"/>
    <mergeCell ref="G107"/>
    <mergeCell ref="H107"/>
    <mergeCell ref="I109"/>
    <mergeCell ref="C110:D110"/>
    <mergeCell ref="E110"/>
    <mergeCell ref="F110"/>
    <mergeCell ref="G110"/>
    <mergeCell ref="H110"/>
    <mergeCell ref="I110"/>
    <mergeCell ref="C109:D109"/>
    <mergeCell ref="E109"/>
    <mergeCell ref="F109"/>
    <mergeCell ref="G109"/>
    <mergeCell ref="H109"/>
    <mergeCell ref="I111"/>
    <mergeCell ref="C112:D112"/>
    <mergeCell ref="E112"/>
    <mergeCell ref="F112"/>
    <mergeCell ref="G112"/>
    <mergeCell ref="H112"/>
    <mergeCell ref="I112"/>
    <mergeCell ref="C111:D111"/>
    <mergeCell ref="E111"/>
    <mergeCell ref="F111"/>
    <mergeCell ref="G111"/>
    <mergeCell ref="H111"/>
    <mergeCell ref="I115"/>
    <mergeCell ref="C115:D115"/>
    <mergeCell ref="E115"/>
    <mergeCell ref="F115"/>
    <mergeCell ref="G115"/>
    <mergeCell ref="H115"/>
    <mergeCell ref="I113"/>
    <mergeCell ref="C114:D114"/>
    <mergeCell ref="E114"/>
    <mergeCell ref="F114"/>
    <mergeCell ref="G114"/>
    <mergeCell ref="H114"/>
    <mergeCell ref="I114"/>
    <mergeCell ref="C113:D113"/>
    <mergeCell ref="E113"/>
    <mergeCell ref="F113"/>
    <mergeCell ref="G113"/>
    <mergeCell ref="H113"/>
  </mergeCells>
  <dataValidations count="3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>
      <c r="B2" s="9" t="s">
        <v>693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>
      <c r="B9" s="2"/>
      <c r="C9" s="46" t="s">
        <v>694</v>
      </c>
      <c r="D9" s="46"/>
      <c r="E9" s="46"/>
      <c r="F9" s="46"/>
      <c r="G9" s="46"/>
      <c r="H9" s="46"/>
      <c r="I9" s="46"/>
      <c r="J9" s="46"/>
      <c r="K9" s="46"/>
      <c r="L9" s="46"/>
      <c r="M9" s="2"/>
    </row>
    <row r="10" spans="2:13"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"/>
    </row>
    <row r="11" spans="2:13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2"/>
    </row>
    <row r="12" spans="2:1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2"/>
    </row>
    <row r="14" spans="2:13">
      <c r="B14" s="2"/>
      <c r="C14" s="40" t="s">
        <v>126</v>
      </c>
      <c r="D14" s="38"/>
      <c r="E14" s="43" t="str">
        <f>"Nama"</f>
        <v>Nama</v>
      </c>
      <c r="F14" s="43" t="str">
        <f>"Jenis Utang"</f>
        <v>Jenis Utang</v>
      </c>
      <c r="G14" s="43" t="str">
        <f>"Jenis Dana"</f>
        <v>Jenis Dana</v>
      </c>
      <c r="H14" s="43" t="str">
        <f>"DD/MM/YY Periode Mulai"</f>
        <v>DD/MM/YY Periode Mulai</v>
      </c>
      <c r="I14" s="43" t="str">
        <f>"Negara"</f>
        <v>Negara</v>
      </c>
      <c r="J14" s="43" t="str">
        <f>"Mata Uang"</f>
        <v>Mata Uang</v>
      </c>
      <c r="K14" s="43" t="str">
        <f>"Saldo Buku (Juta Rp)"</f>
        <v>Saldo Buku (Juta Rp)</v>
      </c>
      <c r="L14" s="43" t="str">
        <f>"Saldo Penilaian SAP (Juta Rp)"</f>
        <v>Saldo Penilaian SAP (Juta Rp)</v>
      </c>
      <c r="M14" s="2"/>
    </row>
    <row r="15" spans="2:13">
      <c r="B15" s="2"/>
      <c r="C15" s="41"/>
      <c r="D15" s="42"/>
      <c r="E15" s="44"/>
      <c r="F15" s="44"/>
      <c r="G15" s="44"/>
      <c r="H15" s="44"/>
      <c r="I15" s="44"/>
      <c r="J15" s="44"/>
      <c r="K15" s="44"/>
      <c r="L15" s="44"/>
      <c r="M15" s="2"/>
    </row>
    <row r="16" spans="2:13">
      <c r="B16" s="2"/>
      <c r="C16" s="37" t="s">
        <v>8</v>
      </c>
      <c r="D16" s="38"/>
      <c r="E16" s="34" t="s">
        <v>103</v>
      </c>
      <c r="F16" s="39">
        <v>0</v>
      </c>
      <c r="G16" s="39">
        <v>0</v>
      </c>
      <c r="H16" s="53"/>
      <c r="I16" s="39">
        <v>0</v>
      </c>
      <c r="J16" s="39">
        <v>0</v>
      </c>
      <c r="K16" s="51">
        <v>0</v>
      </c>
      <c r="L16" s="51">
        <v>0</v>
      </c>
      <c r="M16" s="2"/>
    </row>
    <row r="17" spans="2:13">
      <c r="B17" s="2"/>
      <c r="C17" s="37" t="s">
        <v>127</v>
      </c>
      <c r="D17" s="38"/>
      <c r="E17" s="34" t="s">
        <v>103</v>
      </c>
      <c r="F17" s="39">
        <v>0</v>
      </c>
      <c r="G17" s="39">
        <v>0</v>
      </c>
      <c r="H17" s="53"/>
      <c r="I17" s="39">
        <v>0</v>
      </c>
      <c r="J17" s="39">
        <v>0</v>
      </c>
      <c r="K17" s="51">
        <v>0</v>
      </c>
      <c r="L17" s="51">
        <v>0</v>
      </c>
      <c r="M17" s="2"/>
    </row>
    <row r="18" spans="2:13">
      <c r="B18" s="2"/>
      <c r="C18" s="37" t="s">
        <v>128</v>
      </c>
      <c r="D18" s="38"/>
      <c r="E18" s="34" t="s">
        <v>103</v>
      </c>
      <c r="F18" s="39">
        <v>0</v>
      </c>
      <c r="G18" s="39">
        <v>0</v>
      </c>
      <c r="H18" s="53"/>
      <c r="I18" s="39">
        <v>0</v>
      </c>
      <c r="J18" s="39">
        <v>0</v>
      </c>
      <c r="K18" s="51">
        <v>0</v>
      </c>
      <c r="L18" s="51">
        <v>0</v>
      </c>
      <c r="M18" s="2"/>
    </row>
    <row r="19" spans="2:13">
      <c r="B19" s="2"/>
      <c r="C19" s="37" t="s">
        <v>129</v>
      </c>
      <c r="D19" s="38"/>
      <c r="E19" s="34" t="s">
        <v>103</v>
      </c>
      <c r="F19" s="39">
        <v>0</v>
      </c>
      <c r="G19" s="39">
        <v>0</v>
      </c>
      <c r="H19" s="53"/>
      <c r="I19" s="39">
        <v>0</v>
      </c>
      <c r="J19" s="39">
        <v>0</v>
      </c>
      <c r="K19" s="51">
        <v>0</v>
      </c>
      <c r="L19" s="51">
        <v>0</v>
      </c>
      <c r="M19" s="2"/>
    </row>
    <row r="20" spans="2:13">
      <c r="B20" s="2"/>
      <c r="C20" s="37" t="s">
        <v>130</v>
      </c>
      <c r="D20" s="38"/>
      <c r="E20" s="34" t="s">
        <v>103</v>
      </c>
      <c r="F20" s="39">
        <v>0</v>
      </c>
      <c r="G20" s="39">
        <v>0</v>
      </c>
      <c r="H20" s="53"/>
      <c r="I20" s="39">
        <v>0</v>
      </c>
      <c r="J20" s="39">
        <v>0</v>
      </c>
      <c r="K20" s="51">
        <v>0</v>
      </c>
      <c r="L20" s="51">
        <v>0</v>
      </c>
      <c r="M20" s="2"/>
    </row>
    <row r="21" spans="2:13">
      <c r="B21" s="2"/>
      <c r="C21" s="37" t="s">
        <v>131</v>
      </c>
      <c r="D21" s="38"/>
      <c r="E21" s="34" t="s">
        <v>103</v>
      </c>
      <c r="F21" s="39">
        <v>0</v>
      </c>
      <c r="G21" s="39">
        <v>0</v>
      </c>
      <c r="H21" s="53"/>
      <c r="I21" s="39">
        <v>0</v>
      </c>
      <c r="J21" s="39">
        <v>0</v>
      </c>
      <c r="K21" s="51">
        <v>0</v>
      </c>
      <c r="L21" s="51">
        <v>0</v>
      </c>
      <c r="M21" s="2"/>
    </row>
    <row r="22" spans="2:13">
      <c r="B22" s="2"/>
      <c r="C22" s="37" t="s">
        <v>132</v>
      </c>
      <c r="D22" s="38"/>
      <c r="E22" s="34" t="s">
        <v>103</v>
      </c>
      <c r="F22" s="39">
        <v>0</v>
      </c>
      <c r="G22" s="39">
        <v>0</v>
      </c>
      <c r="H22" s="53"/>
      <c r="I22" s="39">
        <v>0</v>
      </c>
      <c r="J22" s="39">
        <v>0</v>
      </c>
      <c r="K22" s="51">
        <v>0</v>
      </c>
      <c r="L22" s="51">
        <v>0</v>
      </c>
      <c r="M22" s="2"/>
    </row>
    <row r="23" spans="2:13">
      <c r="B23" s="2"/>
      <c r="C23" s="37" t="s">
        <v>133</v>
      </c>
      <c r="D23" s="38"/>
      <c r="E23" s="34" t="s">
        <v>103</v>
      </c>
      <c r="F23" s="39">
        <v>0</v>
      </c>
      <c r="G23" s="39">
        <v>0</v>
      </c>
      <c r="H23" s="53"/>
      <c r="I23" s="39">
        <v>0</v>
      </c>
      <c r="J23" s="39">
        <v>0</v>
      </c>
      <c r="K23" s="51">
        <v>0</v>
      </c>
      <c r="L23" s="51">
        <v>0</v>
      </c>
      <c r="M23" s="2"/>
    </row>
    <row r="24" spans="2:13">
      <c r="B24" s="2"/>
      <c r="C24" s="37" t="s">
        <v>134</v>
      </c>
      <c r="D24" s="38"/>
      <c r="E24" s="34" t="s">
        <v>103</v>
      </c>
      <c r="F24" s="39">
        <v>0</v>
      </c>
      <c r="G24" s="39">
        <v>0</v>
      </c>
      <c r="H24" s="53"/>
      <c r="I24" s="39">
        <v>0</v>
      </c>
      <c r="J24" s="39">
        <v>0</v>
      </c>
      <c r="K24" s="51">
        <v>0</v>
      </c>
      <c r="L24" s="51">
        <v>0</v>
      </c>
      <c r="M24" s="2"/>
    </row>
    <row r="25" spans="2:13">
      <c r="B25" s="2"/>
      <c r="C25" s="37" t="s">
        <v>135</v>
      </c>
      <c r="D25" s="38"/>
      <c r="E25" s="34" t="s">
        <v>103</v>
      </c>
      <c r="F25" s="39">
        <v>0</v>
      </c>
      <c r="G25" s="39">
        <v>0</v>
      </c>
      <c r="H25" s="53"/>
      <c r="I25" s="39">
        <v>0</v>
      </c>
      <c r="J25" s="39">
        <v>0</v>
      </c>
      <c r="K25" s="51">
        <v>0</v>
      </c>
      <c r="L25" s="51">
        <v>0</v>
      </c>
      <c r="M25" s="2"/>
    </row>
    <row r="26" spans="2:13">
      <c r="B26" s="2"/>
      <c r="C26" s="37" t="s">
        <v>136</v>
      </c>
      <c r="D26" s="38"/>
      <c r="E26" s="34" t="s">
        <v>103</v>
      </c>
      <c r="F26" s="39">
        <v>0</v>
      </c>
      <c r="G26" s="39">
        <v>0</v>
      </c>
      <c r="H26" s="53"/>
      <c r="I26" s="39">
        <v>0</v>
      </c>
      <c r="J26" s="39">
        <v>0</v>
      </c>
      <c r="K26" s="51">
        <v>0</v>
      </c>
      <c r="L26" s="51">
        <v>0</v>
      </c>
      <c r="M26" s="2"/>
    </row>
    <row r="27" spans="2:13">
      <c r="B27" s="2"/>
      <c r="C27" s="37" t="s">
        <v>137</v>
      </c>
      <c r="D27" s="38"/>
      <c r="E27" s="34" t="s">
        <v>103</v>
      </c>
      <c r="F27" s="39">
        <v>0</v>
      </c>
      <c r="G27" s="39">
        <v>0</v>
      </c>
      <c r="H27" s="53"/>
      <c r="I27" s="39">
        <v>0</v>
      </c>
      <c r="J27" s="39">
        <v>0</v>
      </c>
      <c r="K27" s="51">
        <v>0</v>
      </c>
      <c r="L27" s="51">
        <v>0</v>
      </c>
      <c r="M27" s="2"/>
    </row>
    <row r="28" spans="2:13">
      <c r="B28" s="2"/>
      <c r="C28" s="37" t="s">
        <v>138</v>
      </c>
      <c r="D28" s="38"/>
      <c r="E28" s="34" t="s">
        <v>103</v>
      </c>
      <c r="F28" s="39">
        <v>0</v>
      </c>
      <c r="G28" s="39">
        <v>0</v>
      </c>
      <c r="H28" s="53"/>
      <c r="I28" s="39">
        <v>0</v>
      </c>
      <c r="J28" s="39">
        <v>0</v>
      </c>
      <c r="K28" s="51">
        <v>0</v>
      </c>
      <c r="L28" s="51">
        <v>0</v>
      </c>
      <c r="M28" s="2"/>
    </row>
    <row r="29" spans="2:13">
      <c r="B29" s="2"/>
      <c r="C29" s="37" t="s">
        <v>139</v>
      </c>
      <c r="D29" s="38"/>
      <c r="E29" s="34" t="s">
        <v>103</v>
      </c>
      <c r="F29" s="39">
        <v>0</v>
      </c>
      <c r="G29" s="39">
        <v>0</v>
      </c>
      <c r="H29" s="53"/>
      <c r="I29" s="39">
        <v>0</v>
      </c>
      <c r="J29" s="39">
        <v>0</v>
      </c>
      <c r="K29" s="51">
        <v>0</v>
      </c>
      <c r="L29" s="51">
        <v>0</v>
      </c>
      <c r="M29" s="2"/>
    </row>
    <row r="30" spans="2:13">
      <c r="B30" s="2"/>
      <c r="C30" s="37" t="s">
        <v>140</v>
      </c>
      <c r="D30" s="38"/>
      <c r="E30" s="34" t="s">
        <v>103</v>
      </c>
      <c r="F30" s="39">
        <v>0</v>
      </c>
      <c r="G30" s="39">
        <v>0</v>
      </c>
      <c r="H30" s="53"/>
      <c r="I30" s="39">
        <v>0</v>
      </c>
      <c r="J30" s="39">
        <v>0</v>
      </c>
      <c r="K30" s="51">
        <v>0</v>
      </c>
      <c r="L30" s="51">
        <v>0</v>
      </c>
      <c r="M30" s="2"/>
    </row>
    <row r="31" spans="2:13">
      <c r="B31" s="2"/>
      <c r="C31" s="37" t="s">
        <v>141</v>
      </c>
      <c r="D31" s="38"/>
      <c r="E31" s="34" t="s">
        <v>103</v>
      </c>
      <c r="F31" s="39">
        <v>0</v>
      </c>
      <c r="G31" s="39">
        <v>0</v>
      </c>
      <c r="H31" s="53"/>
      <c r="I31" s="39">
        <v>0</v>
      </c>
      <c r="J31" s="39">
        <v>0</v>
      </c>
      <c r="K31" s="51">
        <v>0</v>
      </c>
      <c r="L31" s="51">
        <v>0</v>
      </c>
      <c r="M31" s="2"/>
    </row>
    <row r="32" spans="2:13">
      <c r="B32" s="2"/>
      <c r="C32" s="37" t="s">
        <v>142</v>
      </c>
      <c r="D32" s="38"/>
      <c r="E32" s="34" t="s">
        <v>103</v>
      </c>
      <c r="F32" s="39">
        <v>0</v>
      </c>
      <c r="G32" s="39">
        <v>0</v>
      </c>
      <c r="H32" s="53"/>
      <c r="I32" s="39">
        <v>0</v>
      </c>
      <c r="J32" s="39">
        <v>0</v>
      </c>
      <c r="K32" s="51">
        <v>0</v>
      </c>
      <c r="L32" s="51">
        <v>0</v>
      </c>
      <c r="M32" s="2"/>
    </row>
    <row r="33" spans="2:13">
      <c r="B33" s="2"/>
      <c r="C33" s="37" t="s">
        <v>143</v>
      </c>
      <c r="D33" s="38"/>
      <c r="E33" s="34" t="s">
        <v>103</v>
      </c>
      <c r="F33" s="39">
        <v>0</v>
      </c>
      <c r="G33" s="39">
        <v>0</v>
      </c>
      <c r="H33" s="53"/>
      <c r="I33" s="39">
        <v>0</v>
      </c>
      <c r="J33" s="39">
        <v>0</v>
      </c>
      <c r="K33" s="51">
        <v>0</v>
      </c>
      <c r="L33" s="51">
        <v>0</v>
      </c>
      <c r="M33" s="2"/>
    </row>
    <row r="34" spans="2:13">
      <c r="B34" s="2"/>
      <c r="C34" s="37" t="s">
        <v>144</v>
      </c>
      <c r="D34" s="38"/>
      <c r="E34" s="34" t="s">
        <v>103</v>
      </c>
      <c r="F34" s="39">
        <v>0</v>
      </c>
      <c r="G34" s="39">
        <v>0</v>
      </c>
      <c r="H34" s="53"/>
      <c r="I34" s="39">
        <v>0</v>
      </c>
      <c r="J34" s="39">
        <v>0</v>
      </c>
      <c r="K34" s="51">
        <v>0</v>
      </c>
      <c r="L34" s="51">
        <v>0</v>
      </c>
      <c r="M34" s="2"/>
    </row>
    <row r="35" spans="2:13">
      <c r="B35" s="2"/>
      <c r="C35" s="37" t="s">
        <v>145</v>
      </c>
      <c r="D35" s="38"/>
      <c r="E35" s="34" t="s">
        <v>103</v>
      </c>
      <c r="F35" s="39">
        <v>0</v>
      </c>
      <c r="G35" s="39">
        <v>0</v>
      </c>
      <c r="H35" s="53"/>
      <c r="I35" s="39">
        <v>0</v>
      </c>
      <c r="J35" s="39">
        <v>0</v>
      </c>
      <c r="K35" s="51">
        <v>0</v>
      </c>
      <c r="L35" s="51">
        <v>0</v>
      </c>
      <c r="M35" s="2"/>
    </row>
    <row r="36" spans="2:13">
      <c r="B36" s="2"/>
      <c r="C36" s="37" t="s">
        <v>146</v>
      </c>
      <c r="D36" s="38"/>
      <c r="E36" s="34" t="s">
        <v>103</v>
      </c>
      <c r="F36" s="39">
        <v>0</v>
      </c>
      <c r="G36" s="39">
        <v>0</v>
      </c>
      <c r="H36" s="53"/>
      <c r="I36" s="39">
        <v>0</v>
      </c>
      <c r="J36" s="39">
        <v>0</v>
      </c>
      <c r="K36" s="51">
        <v>0</v>
      </c>
      <c r="L36" s="51">
        <v>0</v>
      </c>
      <c r="M36" s="2"/>
    </row>
    <row r="37" spans="2:13">
      <c r="B37" s="2"/>
      <c r="C37" s="37" t="s">
        <v>147</v>
      </c>
      <c r="D37" s="38"/>
      <c r="E37" s="34" t="s">
        <v>103</v>
      </c>
      <c r="F37" s="39">
        <v>0</v>
      </c>
      <c r="G37" s="39">
        <v>0</v>
      </c>
      <c r="H37" s="53"/>
      <c r="I37" s="39">
        <v>0</v>
      </c>
      <c r="J37" s="39">
        <v>0</v>
      </c>
      <c r="K37" s="51">
        <v>0</v>
      </c>
      <c r="L37" s="51">
        <v>0</v>
      </c>
      <c r="M37" s="2"/>
    </row>
    <row r="38" spans="2:13">
      <c r="B38" s="2"/>
      <c r="C38" s="37" t="s">
        <v>148</v>
      </c>
      <c r="D38" s="38"/>
      <c r="E38" s="34" t="s">
        <v>103</v>
      </c>
      <c r="F38" s="39">
        <v>0</v>
      </c>
      <c r="G38" s="39">
        <v>0</v>
      </c>
      <c r="H38" s="53"/>
      <c r="I38" s="39">
        <v>0</v>
      </c>
      <c r="J38" s="39">
        <v>0</v>
      </c>
      <c r="K38" s="51">
        <v>0</v>
      </c>
      <c r="L38" s="51">
        <v>0</v>
      </c>
      <c r="M38" s="2"/>
    </row>
    <row r="39" spans="2:13">
      <c r="B39" s="2"/>
      <c r="C39" s="37" t="s">
        <v>149</v>
      </c>
      <c r="D39" s="38"/>
      <c r="E39" s="34" t="s">
        <v>103</v>
      </c>
      <c r="F39" s="39">
        <v>0</v>
      </c>
      <c r="G39" s="39">
        <v>0</v>
      </c>
      <c r="H39" s="53"/>
      <c r="I39" s="39">
        <v>0</v>
      </c>
      <c r="J39" s="39">
        <v>0</v>
      </c>
      <c r="K39" s="51">
        <v>0</v>
      </c>
      <c r="L39" s="51">
        <v>0</v>
      </c>
      <c r="M39" s="2"/>
    </row>
    <row r="40" spans="2:13">
      <c r="B40" s="2"/>
      <c r="C40" s="37" t="s">
        <v>150</v>
      </c>
      <c r="D40" s="38"/>
      <c r="E40" s="34" t="s">
        <v>103</v>
      </c>
      <c r="F40" s="39">
        <v>0</v>
      </c>
      <c r="G40" s="39">
        <v>0</v>
      </c>
      <c r="H40" s="53"/>
      <c r="I40" s="39">
        <v>0</v>
      </c>
      <c r="J40" s="39">
        <v>0</v>
      </c>
      <c r="K40" s="51">
        <v>0</v>
      </c>
      <c r="L40" s="51">
        <v>0</v>
      </c>
      <c r="M40" s="2"/>
    </row>
    <row r="41" spans="2:13">
      <c r="B41" s="2"/>
      <c r="C41" s="37" t="s">
        <v>151</v>
      </c>
      <c r="D41" s="38"/>
      <c r="E41" s="34" t="s">
        <v>103</v>
      </c>
      <c r="F41" s="39">
        <v>0</v>
      </c>
      <c r="G41" s="39">
        <v>0</v>
      </c>
      <c r="H41" s="53"/>
      <c r="I41" s="39">
        <v>0</v>
      </c>
      <c r="J41" s="39">
        <v>0</v>
      </c>
      <c r="K41" s="51">
        <v>0</v>
      </c>
      <c r="L41" s="51">
        <v>0</v>
      </c>
      <c r="M41" s="2"/>
    </row>
    <row r="42" spans="2:13">
      <c r="B42" s="2"/>
      <c r="C42" s="37" t="s">
        <v>152</v>
      </c>
      <c r="D42" s="38"/>
      <c r="E42" s="34" t="s">
        <v>103</v>
      </c>
      <c r="F42" s="39">
        <v>0</v>
      </c>
      <c r="G42" s="39">
        <v>0</v>
      </c>
      <c r="H42" s="53"/>
      <c r="I42" s="39">
        <v>0</v>
      </c>
      <c r="J42" s="39">
        <v>0</v>
      </c>
      <c r="K42" s="51">
        <v>0</v>
      </c>
      <c r="L42" s="51">
        <v>0</v>
      </c>
      <c r="M42" s="2"/>
    </row>
    <row r="43" spans="2:13">
      <c r="B43" s="2"/>
      <c r="C43" s="37" t="s">
        <v>153</v>
      </c>
      <c r="D43" s="38"/>
      <c r="E43" s="34" t="s">
        <v>103</v>
      </c>
      <c r="F43" s="39">
        <v>0</v>
      </c>
      <c r="G43" s="39">
        <v>0</v>
      </c>
      <c r="H43" s="53"/>
      <c r="I43" s="39">
        <v>0</v>
      </c>
      <c r="J43" s="39">
        <v>0</v>
      </c>
      <c r="K43" s="51">
        <v>0</v>
      </c>
      <c r="L43" s="51">
        <v>0</v>
      </c>
      <c r="M43" s="2"/>
    </row>
    <row r="44" spans="2:13">
      <c r="B44" s="2"/>
      <c r="C44" s="37" t="s">
        <v>154</v>
      </c>
      <c r="D44" s="38"/>
      <c r="E44" s="34" t="s">
        <v>103</v>
      </c>
      <c r="F44" s="39">
        <v>0</v>
      </c>
      <c r="G44" s="39">
        <v>0</v>
      </c>
      <c r="H44" s="53"/>
      <c r="I44" s="39">
        <v>0</v>
      </c>
      <c r="J44" s="39">
        <v>0</v>
      </c>
      <c r="K44" s="51">
        <v>0</v>
      </c>
      <c r="L44" s="51">
        <v>0</v>
      </c>
      <c r="M44" s="2"/>
    </row>
    <row r="45" spans="2:13">
      <c r="B45" s="2"/>
      <c r="C45" s="37" t="s">
        <v>155</v>
      </c>
      <c r="D45" s="38"/>
      <c r="E45" s="34" t="s">
        <v>103</v>
      </c>
      <c r="F45" s="39">
        <v>0</v>
      </c>
      <c r="G45" s="39">
        <v>0</v>
      </c>
      <c r="H45" s="53"/>
      <c r="I45" s="39">
        <v>0</v>
      </c>
      <c r="J45" s="39">
        <v>0</v>
      </c>
      <c r="K45" s="51">
        <v>0</v>
      </c>
      <c r="L45" s="51">
        <v>0</v>
      </c>
      <c r="M45" s="2"/>
    </row>
    <row r="46" spans="2:13">
      <c r="B46" s="2"/>
      <c r="C46" s="37" t="s">
        <v>156</v>
      </c>
      <c r="D46" s="38"/>
      <c r="E46" s="34" t="s">
        <v>103</v>
      </c>
      <c r="F46" s="39">
        <v>0</v>
      </c>
      <c r="G46" s="39">
        <v>0</v>
      </c>
      <c r="H46" s="53"/>
      <c r="I46" s="39">
        <v>0</v>
      </c>
      <c r="J46" s="39">
        <v>0</v>
      </c>
      <c r="K46" s="51">
        <v>0</v>
      </c>
      <c r="L46" s="51">
        <v>0</v>
      </c>
      <c r="M46" s="2"/>
    </row>
    <row r="47" spans="2:13">
      <c r="B47" s="2"/>
      <c r="C47" s="37" t="s">
        <v>157</v>
      </c>
      <c r="D47" s="38"/>
      <c r="E47" s="34" t="s">
        <v>103</v>
      </c>
      <c r="F47" s="39">
        <v>0</v>
      </c>
      <c r="G47" s="39">
        <v>0</v>
      </c>
      <c r="H47" s="53"/>
      <c r="I47" s="39">
        <v>0</v>
      </c>
      <c r="J47" s="39">
        <v>0</v>
      </c>
      <c r="K47" s="51">
        <v>0</v>
      </c>
      <c r="L47" s="51">
        <v>0</v>
      </c>
      <c r="M47" s="2"/>
    </row>
    <row r="48" spans="2:13">
      <c r="B48" s="2"/>
      <c r="C48" s="37" t="s">
        <v>158</v>
      </c>
      <c r="D48" s="38"/>
      <c r="E48" s="34" t="s">
        <v>103</v>
      </c>
      <c r="F48" s="39">
        <v>0</v>
      </c>
      <c r="G48" s="39">
        <v>0</v>
      </c>
      <c r="H48" s="53"/>
      <c r="I48" s="39">
        <v>0</v>
      </c>
      <c r="J48" s="39">
        <v>0</v>
      </c>
      <c r="K48" s="51">
        <v>0</v>
      </c>
      <c r="L48" s="51">
        <v>0</v>
      </c>
      <c r="M48" s="2"/>
    </row>
    <row r="49" spans="2:13">
      <c r="B49" s="2"/>
      <c r="C49" s="37" t="s">
        <v>159</v>
      </c>
      <c r="D49" s="38"/>
      <c r="E49" s="34" t="s">
        <v>103</v>
      </c>
      <c r="F49" s="39">
        <v>0</v>
      </c>
      <c r="G49" s="39">
        <v>0</v>
      </c>
      <c r="H49" s="53"/>
      <c r="I49" s="39">
        <v>0</v>
      </c>
      <c r="J49" s="39">
        <v>0</v>
      </c>
      <c r="K49" s="51">
        <v>0</v>
      </c>
      <c r="L49" s="51">
        <v>0</v>
      </c>
      <c r="M49" s="2"/>
    </row>
    <row r="50" spans="2:13">
      <c r="B50" s="2"/>
      <c r="C50" s="37" t="s">
        <v>160</v>
      </c>
      <c r="D50" s="38"/>
      <c r="E50" s="34" t="s">
        <v>103</v>
      </c>
      <c r="F50" s="39">
        <v>0</v>
      </c>
      <c r="G50" s="39">
        <v>0</v>
      </c>
      <c r="H50" s="53"/>
      <c r="I50" s="39">
        <v>0</v>
      </c>
      <c r="J50" s="39">
        <v>0</v>
      </c>
      <c r="K50" s="51">
        <v>0</v>
      </c>
      <c r="L50" s="51">
        <v>0</v>
      </c>
      <c r="M50" s="2"/>
    </row>
    <row r="51" spans="2:13">
      <c r="B51" s="2"/>
      <c r="C51" s="37" t="s">
        <v>161</v>
      </c>
      <c r="D51" s="38"/>
      <c r="E51" s="34" t="s">
        <v>103</v>
      </c>
      <c r="F51" s="39">
        <v>0</v>
      </c>
      <c r="G51" s="39">
        <v>0</v>
      </c>
      <c r="H51" s="53"/>
      <c r="I51" s="39">
        <v>0</v>
      </c>
      <c r="J51" s="39">
        <v>0</v>
      </c>
      <c r="K51" s="51">
        <v>0</v>
      </c>
      <c r="L51" s="51">
        <v>0</v>
      </c>
      <c r="M51" s="2"/>
    </row>
    <row r="52" spans="2:13">
      <c r="B52" s="2"/>
      <c r="C52" s="37" t="s">
        <v>162</v>
      </c>
      <c r="D52" s="38"/>
      <c r="E52" s="34" t="s">
        <v>103</v>
      </c>
      <c r="F52" s="39">
        <v>0</v>
      </c>
      <c r="G52" s="39">
        <v>0</v>
      </c>
      <c r="H52" s="53"/>
      <c r="I52" s="39">
        <v>0</v>
      </c>
      <c r="J52" s="39">
        <v>0</v>
      </c>
      <c r="K52" s="51">
        <v>0</v>
      </c>
      <c r="L52" s="51">
        <v>0</v>
      </c>
      <c r="M52" s="2"/>
    </row>
    <row r="53" spans="2:13">
      <c r="B53" s="2"/>
      <c r="C53" s="37" t="s">
        <v>163</v>
      </c>
      <c r="D53" s="38"/>
      <c r="E53" s="34" t="s">
        <v>103</v>
      </c>
      <c r="F53" s="39">
        <v>0</v>
      </c>
      <c r="G53" s="39">
        <v>0</v>
      </c>
      <c r="H53" s="53"/>
      <c r="I53" s="39">
        <v>0</v>
      </c>
      <c r="J53" s="39">
        <v>0</v>
      </c>
      <c r="K53" s="51">
        <v>0</v>
      </c>
      <c r="L53" s="51">
        <v>0</v>
      </c>
      <c r="M53" s="2"/>
    </row>
    <row r="54" spans="2:13">
      <c r="B54" s="2"/>
      <c r="C54" s="37" t="s">
        <v>164</v>
      </c>
      <c r="D54" s="38"/>
      <c r="E54" s="34" t="s">
        <v>103</v>
      </c>
      <c r="F54" s="39">
        <v>0</v>
      </c>
      <c r="G54" s="39">
        <v>0</v>
      </c>
      <c r="H54" s="53"/>
      <c r="I54" s="39">
        <v>0</v>
      </c>
      <c r="J54" s="39">
        <v>0</v>
      </c>
      <c r="K54" s="51">
        <v>0</v>
      </c>
      <c r="L54" s="51">
        <v>0</v>
      </c>
      <c r="M54" s="2"/>
    </row>
    <row r="55" spans="2:13">
      <c r="B55" s="2"/>
      <c r="C55" s="37" t="s">
        <v>165</v>
      </c>
      <c r="D55" s="38"/>
      <c r="E55" s="34" t="s">
        <v>103</v>
      </c>
      <c r="F55" s="39">
        <v>0</v>
      </c>
      <c r="G55" s="39">
        <v>0</v>
      </c>
      <c r="H55" s="53"/>
      <c r="I55" s="39">
        <v>0</v>
      </c>
      <c r="J55" s="39">
        <v>0</v>
      </c>
      <c r="K55" s="51">
        <v>0</v>
      </c>
      <c r="L55" s="51">
        <v>0</v>
      </c>
      <c r="M55" s="2"/>
    </row>
    <row r="56" spans="2:13">
      <c r="B56" s="2"/>
      <c r="C56" s="37" t="s">
        <v>166</v>
      </c>
      <c r="D56" s="38"/>
      <c r="E56" s="34" t="s">
        <v>103</v>
      </c>
      <c r="F56" s="39">
        <v>0</v>
      </c>
      <c r="G56" s="39">
        <v>0</v>
      </c>
      <c r="H56" s="53"/>
      <c r="I56" s="39">
        <v>0</v>
      </c>
      <c r="J56" s="39">
        <v>0</v>
      </c>
      <c r="K56" s="51">
        <v>0</v>
      </c>
      <c r="L56" s="51">
        <v>0</v>
      </c>
      <c r="M56" s="2"/>
    </row>
    <row r="57" spans="2:13">
      <c r="B57" s="2"/>
      <c r="C57" s="37" t="s">
        <v>167</v>
      </c>
      <c r="D57" s="38"/>
      <c r="E57" s="34" t="s">
        <v>103</v>
      </c>
      <c r="F57" s="39">
        <v>0</v>
      </c>
      <c r="G57" s="39">
        <v>0</v>
      </c>
      <c r="H57" s="53"/>
      <c r="I57" s="39">
        <v>0</v>
      </c>
      <c r="J57" s="39">
        <v>0</v>
      </c>
      <c r="K57" s="51">
        <v>0</v>
      </c>
      <c r="L57" s="51">
        <v>0</v>
      </c>
      <c r="M57" s="2"/>
    </row>
    <row r="58" spans="2:13">
      <c r="B58" s="2"/>
      <c r="C58" s="37" t="s">
        <v>168</v>
      </c>
      <c r="D58" s="38"/>
      <c r="E58" s="34" t="s">
        <v>103</v>
      </c>
      <c r="F58" s="39">
        <v>0</v>
      </c>
      <c r="G58" s="39">
        <v>0</v>
      </c>
      <c r="H58" s="53"/>
      <c r="I58" s="39">
        <v>0</v>
      </c>
      <c r="J58" s="39">
        <v>0</v>
      </c>
      <c r="K58" s="51">
        <v>0</v>
      </c>
      <c r="L58" s="51">
        <v>0</v>
      </c>
      <c r="M58" s="2"/>
    </row>
    <row r="59" spans="2:13">
      <c r="B59" s="2"/>
      <c r="C59" s="37" t="s">
        <v>169</v>
      </c>
      <c r="D59" s="38"/>
      <c r="E59" s="34" t="s">
        <v>103</v>
      </c>
      <c r="F59" s="39">
        <v>0</v>
      </c>
      <c r="G59" s="39">
        <v>0</v>
      </c>
      <c r="H59" s="53"/>
      <c r="I59" s="39">
        <v>0</v>
      </c>
      <c r="J59" s="39">
        <v>0</v>
      </c>
      <c r="K59" s="51">
        <v>0</v>
      </c>
      <c r="L59" s="51">
        <v>0</v>
      </c>
      <c r="M59" s="2"/>
    </row>
    <row r="60" spans="2:13">
      <c r="B60" s="2"/>
      <c r="C60" s="37" t="s">
        <v>170</v>
      </c>
      <c r="D60" s="38"/>
      <c r="E60" s="34" t="s">
        <v>103</v>
      </c>
      <c r="F60" s="39">
        <v>0</v>
      </c>
      <c r="G60" s="39">
        <v>0</v>
      </c>
      <c r="H60" s="53"/>
      <c r="I60" s="39">
        <v>0</v>
      </c>
      <c r="J60" s="39">
        <v>0</v>
      </c>
      <c r="K60" s="51">
        <v>0</v>
      </c>
      <c r="L60" s="51">
        <v>0</v>
      </c>
      <c r="M60" s="2"/>
    </row>
    <row r="61" spans="2:13">
      <c r="B61" s="2"/>
      <c r="C61" s="37" t="s">
        <v>171</v>
      </c>
      <c r="D61" s="38"/>
      <c r="E61" s="34" t="s">
        <v>103</v>
      </c>
      <c r="F61" s="39">
        <v>0</v>
      </c>
      <c r="G61" s="39">
        <v>0</v>
      </c>
      <c r="H61" s="53"/>
      <c r="I61" s="39">
        <v>0</v>
      </c>
      <c r="J61" s="39">
        <v>0</v>
      </c>
      <c r="K61" s="51">
        <v>0</v>
      </c>
      <c r="L61" s="51">
        <v>0</v>
      </c>
      <c r="M61" s="2"/>
    </row>
    <row r="62" spans="2:13">
      <c r="B62" s="2"/>
      <c r="C62" s="37" t="s">
        <v>172</v>
      </c>
      <c r="D62" s="38"/>
      <c r="E62" s="34" t="s">
        <v>103</v>
      </c>
      <c r="F62" s="39">
        <v>0</v>
      </c>
      <c r="G62" s="39">
        <v>0</v>
      </c>
      <c r="H62" s="53"/>
      <c r="I62" s="39">
        <v>0</v>
      </c>
      <c r="J62" s="39">
        <v>0</v>
      </c>
      <c r="K62" s="51">
        <v>0</v>
      </c>
      <c r="L62" s="51">
        <v>0</v>
      </c>
      <c r="M62" s="2"/>
    </row>
    <row r="63" spans="2:13">
      <c r="B63" s="2"/>
      <c r="C63" s="37" t="s">
        <v>173</v>
      </c>
      <c r="D63" s="38"/>
      <c r="E63" s="34" t="s">
        <v>103</v>
      </c>
      <c r="F63" s="39">
        <v>0</v>
      </c>
      <c r="G63" s="39">
        <v>0</v>
      </c>
      <c r="H63" s="53"/>
      <c r="I63" s="39">
        <v>0</v>
      </c>
      <c r="J63" s="39">
        <v>0</v>
      </c>
      <c r="K63" s="51">
        <v>0</v>
      </c>
      <c r="L63" s="51">
        <v>0</v>
      </c>
      <c r="M63" s="2"/>
    </row>
    <row r="64" spans="2:13">
      <c r="B64" s="2"/>
      <c r="C64" s="37" t="s">
        <v>174</v>
      </c>
      <c r="D64" s="38"/>
      <c r="E64" s="34" t="s">
        <v>103</v>
      </c>
      <c r="F64" s="39">
        <v>0</v>
      </c>
      <c r="G64" s="39">
        <v>0</v>
      </c>
      <c r="H64" s="53"/>
      <c r="I64" s="39">
        <v>0</v>
      </c>
      <c r="J64" s="39">
        <v>0</v>
      </c>
      <c r="K64" s="51">
        <v>0</v>
      </c>
      <c r="L64" s="51">
        <v>0</v>
      </c>
      <c r="M64" s="2"/>
    </row>
    <row r="65" spans="2:13">
      <c r="B65" s="2"/>
      <c r="C65" s="37" t="s">
        <v>175</v>
      </c>
      <c r="D65" s="38"/>
      <c r="E65" s="34" t="s">
        <v>103</v>
      </c>
      <c r="F65" s="39">
        <v>0</v>
      </c>
      <c r="G65" s="39">
        <v>0</v>
      </c>
      <c r="H65" s="53"/>
      <c r="I65" s="39">
        <v>0</v>
      </c>
      <c r="J65" s="39">
        <v>0</v>
      </c>
      <c r="K65" s="51">
        <v>0</v>
      </c>
      <c r="L65" s="51">
        <v>0</v>
      </c>
      <c r="M65" s="2"/>
    </row>
    <row r="66" spans="2:13">
      <c r="B66" s="2"/>
      <c r="C66" s="37" t="s">
        <v>176</v>
      </c>
      <c r="D66" s="38"/>
      <c r="E66" s="34" t="s">
        <v>103</v>
      </c>
      <c r="F66" s="39">
        <v>0</v>
      </c>
      <c r="G66" s="39">
        <v>0</v>
      </c>
      <c r="H66" s="53"/>
      <c r="I66" s="39">
        <v>0</v>
      </c>
      <c r="J66" s="39">
        <v>0</v>
      </c>
      <c r="K66" s="51">
        <v>0</v>
      </c>
      <c r="L66" s="51">
        <v>0</v>
      </c>
      <c r="M66" s="2"/>
    </row>
    <row r="67" spans="2:13">
      <c r="B67" s="2"/>
      <c r="C67" s="37" t="s">
        <v>177</v>
      </c>
      <c r="D67" s="38"/>
      <c r="E67" s="34" t="s">
        <v>103</v>
      </c>
      <c r="F67" s="39">
        <v>0</v>
      </c>
      <c r="G67" s="39">
        <v>0</v>
      </c>
      <c r="H67" s="53"/>
      <c r="I67" s="39">
        <v>0</v>
      </c>
      <c r="J67" s="39">
        <v>0</v>
      </c>
      <c r="K67" s="51">
        <v>0</v>
      </c>
      <c r="L67" s="51">
        <v>0</v>
      </c>
      <c r="M67" s="2"/>
    </row>
    <row r="68" spans="2:13">
      <c r="B68" s="2"/>
      <c r="C68" s="37" t="s">
        <v>178</v>
      </c>
      <c r="D68" s="38"/>
      <c r="E68" s="34" t="s">
        <v>103</v>
      </c>
      <c r="F68" s="39">
        <v>0</v>
      </c>
      <c r="G68" s="39">
        <v>0</v>
      </c>
      <c r="H68" s="53"/>
      <c r="I68" s="39">
        <v>0</v>
      </c>
      <c r="J68" s="39">
        <v>0</v>
      </c>
      <c r="K68" s="51">
        <v>0</v>
      </c>
      <c r="L68" s="51">
        <v>0</v>
      </c>
      <c r="M68" s="2"/>
    </row>
    <row r="69" spans="2:13">
      <c r="B69" s="2"/>
      <c r="C69" s="37" t="s">
        <v>179</v>
      </c>
      <c r="D69" s="38"/>
      <c r="E69" s="34" t="s">
        <v>103</v>
      </c>
      <c r="F69" s="39">
        <v>0</v>
      </c>
      <c r="G69" s="39">
        <v>0</v>
      </c>
      <c r="H69" s="53"/>
      <c r="I69" s="39">
        <v>0</v>
      </c>
      <c r="J69" s="39">
        <v>0</v>
      </c>
      <c r="K69" s="51">
        <v>0</v>
      </c>
      <c r="L69" s="51">
        <v>0</v>
      </c>
      <c r="M69" s="2"/>
    </row>
    <row r="70" spans="2:13">
      <c r="B70" s="2"/>
      <c r="C70" s="37" t="s">
        <v>180</v>
      </c>
      <c r="D70" s="38"/>
      <c r="E70" s="34" t="s">
        <v>103</v>
      </c>
      <c r="F70" s="39">
        <v>0</v>
      </c>
      <c r="G70" s="39">
        <v>0</v>
      </c>
      <c r="H70" s="53"/>
      <c r="I70" s="39">
        <v>0</v>
      </c>
      <c r="J70" s="39">
        <v>0</v>
      </c>
      <c r="K70" s="51">
        <v>0</v>
      </c>
      <c r="L70" s="51">
        <v>0</v>
      </c>
      <c r="M70" s="2"/>
    </row>
    <row r="71" spans="2:13">
      <c r="B71" s="2"/>
      <c r="C71" s="37" t="s">
        <v>181</v>
      </c>
      <c r="D71" s="38"/>
      <c r="E71" s="34" t="s">
        <v>103</v>
      </c>
      <c r="F71" s="39">
        <v>0</v>
      </c>
      <c r="G71" s="39">
        <v>0</v>
      </c>
      <c r="H71" s="53"/>
      <c r="I71" s="39">
        <v>0</v>
      </c>
      <c r="J71" s="39">
        <v>0</v>
      </c>
      <c r="K71" s="51">
        <v>0</v>
      </c>
      <c r="L71" s="51">
        <v>0</v>
      </c>
      <c r="M71" s="2"/>
    </row>
    <row r="72" spans="2:13">
      <c r="B72" s="2"/>
      <c r="C72" s="37" t="s">
        <v>182</v>
      </c>
      <c r="D72" s="38"/>
      <c r="E72" s="34" t="s">
        <v>103</v>
      </c>
      <c r="F72" s="39">
        <v>0</v>
      </c>
      <c r="G72" s="39">
        <v>0</v>
      </c>
      <c r="H72" s="53"/>
      <c r="I72" s="39">
        <v>0</v>
      </c>
      <c r="J72" s="39">
        <v>0</v>
      </c>
      <c r="K72" s="51">
        <v>0</v>
      </c>
      <c r="L72" s="51">
        <v>0</v>
      </c>
      <c r="M72" s="2"/>
    </row>
    <row r="73" spans="2:13">
      <c r="B73" s="2"/>
      <c r="C73" s="37" t="s">
        <v>183</v>
      </c>
      <c r="D73" s="38"/>
      <c r="E73" s="34" t="s">
        <v>103</v>
      </c>
      <c r="F73" s="39">
        <v>0</v>
      </c>
      <c r="G73" s="39">
        <v>0</v>
      </c>
      <c r="H73" s="53"/>
      <c r="I73" s="39">
        <v>0</v>
      </c>
      <c r="J73" s="39">
        <v>0</v>
      </c>
      <c r="K73" s="51">
        <v>0</v>
      </c>
      <c r="L73" s="51">
        <v>0</v>
      </c>
      <c r="M73" s="2"/>
    </row>
    <row r="74" spans="2:13">
      <c r="B74" s="2"/>
      <c r="C74" s="37" t="s">
        <v>184</v>
      </c>
      <c r="D74" s="38"/>
      <c r="E74" s="34" t="s">
        <v>103</v>
      </c>
      <c r="F74" s="39">
        <v>0</v>
      </c>
      <c r="G74" s="39">
        <v>0</v>
      </c>
      <c r="H74" s="53"/>
      <c r="I74" s="39">
        <v>0</v>
      </c>
      <c r="J74" s="39">
        <v>0</v>
      </c>
      <c r="K74" s="51">
        <v>0</v>
      </c>
      <c r="L74" s="51">
        <v>0</v>
      </c>
      <c r="M74" s="2"/>
    </row>
    <row r="75" spans="2:13">
      <c r="B75" s="2"/>
      <c r="C75" s="37" t="s">
        <v>185</v>
      </c>
      <c r="D75" s="38"/>
      <c r="E75" s="34" t="s">
        <v>103</v>
      </c>
      <c r="F75" s="39">
        <v>0</v>
      </c>
      <c r="G75" s="39">
        <v>0</v>
      </c>
      <c r="H75" s="53"/>
      <c r="I75" s="39">
        <v>0</v>
      </c>
      <c r="J75" s="39">
        <v>0</v>
      </c>
      <c r="K75" s="51">
        <v>0</v>
      </c>
      <c r="L75" s="51">
        <v>0</v>
      </c>
      <c r="M75" s="2"/>
    </row>
    <row r="76" spans="2:13">
      <c r="B76" s="2"/>
      <c r="C76" s="37" t="s">
        <v>186</v>
      </c>
      <c r="D76" s="38"/>
      <c r="E76" s="34" t="s">
        <v>103</v>
      </c>
      <c r="F76" s="39">
        <v>0</v>
      </c>
      <c r="G76" s="39">
        <v>0</v>
      </c>
      <c r="H76" s="53"/>
      <c r="I76" s="39">
        <v>0</v>
      </c>
      <c r="J76" s="39">
        <v>0</v>
      </c>
      <c r="K76" s="51">
        <v>0</v>
      </c>
      <c r="L76" s="51">
        <v>0</v>
      </c>
      <c r="M76" s="2"/>
    </row>
    <row r="77" spans="2:13">
      <c r="B77" s="2"/>
      <c r="C77" s="37" t="s">
        <v>187</v>
      </c>
      <c r="D77" s="38"/>
      <c r="E77" s="34" t="s">
        <v>103</v>
      </c>
      <c r="F77" s="39">
        <v>0</v>
      </c>
      <c r="G77" s="39">
        <v>0</v>
      </c>
      <c r="H77" s="53"/>
      <c r="I77" s="39">
        <v>0</v>
      </c>
      <c r="J77" s="39">
        <v>0</v>
      </c>
      <c r="K77" s="51">
        <v>0</v>
      </c>
      <c r="L77" s="51">
        <v>0</v>
      </c>
      <c r="M77" s="2"/>
    </row>
    <row r="78" spans="2:13">
      <c r="B78" s="2"/>
      <c r="C78" s="37" t="s">
        <v>188</v>
      </c>
      <c r="D78" s="38"/>
      <c r="E78" s="34" t="s">
        <v>103</v>
      </c>
      <c r="F78" s="39">
        <v>0</v>
      </c>
      <c r="G78" s="39">
        <v>0</v>
      </c>
      <c r="H78" s="53"/>
      <c r="I78" s="39">
        <v>0</v>
      </c>
      <c r="J78" s="39">
        <v>0</v>
      </c>
      <c r="K78" s="51">
        <v>0</v>
      </c>
      <c r="L78" s="51">
        <v>0</v>
      </c>
      <c r="M78" s="2"/>
    </row>
    <row r="79" spans="2:13">
      <c r="B79" s="2"/>
      <c r="C79" s="37" t="s">
        <v>189</v>
      </c>
      <c r="D79" s="38"/>
      <c r="E79" s="34" t="s">
        <v>103</v>
      </c>
      <c r="F79" s="39">
        <v>0</v>
      </c>
      <c r="G79" s="39">
        <v>0</v>
      </c>
      <c r="H79" s="53"/>
      <c r="I79" s="39">
        <v>0</v>
      </c>
      <c r="J79" s="39">
        <v>0</v>
      </c>
      <c r="K79" s="51">
        <v>0</v>
      </c>
      <c r="L79" s="51">
        <v>0</v>
      </c>
      <c r="M79" s="2"/>
    </row>
    <row r="80" spans="2:13">
      <c r="B80" s="2"/>
      <c r="C80" s="37" t="s">
        <v>190</v>
      </c>
      <c r="D80" s="38"/>
      <c r="E80" s="34" t="s">
        <v>103</v>
      </c>
      <c r="F80" s="39">
        <v>0</v>
      </c>
      <c r="G80" s="39">
        <v>0</v>
      </c>
      <c r="H80" s="53"/>
      <c r="I80" s="39">
        <v>0</v>
      </c>
      <c r="J80" s="39">
        <v>0</v>
      </c>
      <c r="K80" s="51">
        <v>0</v>
      </c>
      <c r="L80" s="51">
        <v>0</v>
      </c>
      <c r="M80" s="2"/>
    </row>
    <row r="81" spans="2:13">
      <c r="B81" s="2"/>
      <c r="C81" s="37" t="s">
        <v>191</v>
      </c>
      <c r="D81" s="38"/>
      <c r="E81" s="34" t="s">
        <v>103</v>
      </c>
      <c r="F81" s="39">
        <v>0</v>
      </c>
      <c r="G81" s="39">
        <v>0</v>
      </c>
      <c r="H81" s="53"/>
      <c r="I81" s="39">
        <v>0</v>
      </c>
      <c r="J81" s="39">
        <v>0</v>
      </c>
      <c r="K81" s="51">
        <v>0</v>
      </c>
      <c r="L81" s="51">
        <v>0</v>
      </c>
      <c r="M81" s="2"/>
    </row>
    <row r="82" spans="2:13">
      <c r="B82" s="2"/>
      <c r="C82" s="37" t="s">
        <v>192</v>
      </c>
      <c r="D82" s="38"/>
      <c r="E82" s="34" t="s">
        <v>103</v>
      </c>
      <c r="F82" s="39">
        <v>0</v>
      </c>
      <c r="G82" s="39">
        <v>0</v>
      </c>
      <c r="H82" s="53"/>
      <c r="I82" s="39">
        <v>0</v>
      </c>
      <c r="J82" s="39">
        <v>0</v>
      </c>
      <c r="K82" s="51">
        <v>0</v>
      </c>
      <c r="L82" s="51">
        <v>0</v>
      </c>
      <c r="M82" s="2"/>
    </row>
    <row r="83" spans="2:13">
      <c r="B83" s="2"/>
      <c r="C83" s="37" t="s">
        <v>193</v>
      </c>
      <c r="D83" s="38"/>
      <c r="E83" s="34" t="s">
        <v>103</v>
      </c>
      <c r="F83" s="39">
        <v>0</v>
      </c>
      <c r="G83" s="39">
        <v>0</v>
      </c>
      <c r="H83" s="53"/>
      <c r="I83" s="39">
        <v>0</v>
      </c>
      <c r="J83" s="39">
        <v>0</v>
      </c>
      <c r="K83" s="51">
        <v>0</v>
      </c>
      <c r="L83" s="51">
        <v>0</v>
      </c>
      <c r="M83" s="2"/>
    </row>
    <row r="84" spans="2:13">
      <c r="B84" s="2"/>
      <c r="C84" s="37" t="s">
        <v>194</v>
      </c>
      <c r="D84" s="38"/>
      <c r="E84" s="34" t="s">
        <v>103</v>
      </c>
      <c r="F84" s="39">
        <v>0</v>
      </c>
      <c r="G84" s="39">
        <v>0</v>
      </c>
      <c r="H84" s="53"/>
      <c r="I84" s="39">
        <v>0</v>
      </c>
      <c r="J84" s="39">
        <v>0</v>
      </c>
      <c r="K84" s="51">
        <v>0</v>
      </c>
      <c r="L84" s="51">
        <v>0</v>
      </c>
      <c r="M84" s="2"/>
    </row>
    <row r="85" spans="2:13">
      <c r="B85" s="2"/>
      <c r="C85" s="37" t="s">
        <v>195</v>
      </c>
      <c r="D85" s="38"/>
      <c r="E85" s="34" t="s">
        <v>103</v>
      </c>
      <c r="F85" s="39">
        <v>0</v>
      </c>
      <c r="G85" s="39">
        <v>0</v>
      </c>
      <c r="H85" s="53"/>
      <c r="I85" s="39">
        <v>0</v>
      </c>
      <c r="J85" s="39">
        <v>0</v>
      </c>
      <c r="K85" s="51">
        <v>0</v>
      </c>
      <c r="L85" s="51">
        <v>0</v>
      </c>
      <c r="M85" s="2"/>
    </row>
    <row r="86" spans="2:13">
      <c r="B86" s="2"/>
      <c r="C86" s="37" t="s">
        <v>196</v>
      </c>
      <c r="D86" s="38"/>
      <c r="E86" s="34" t="s">
        <v>103</v>
      </c>
      <c r="F86" s="39">
        <v>0</v>
      </c>
      <c r="G86" s="39">
        <v>0</v>
      </c>
      <c r="H86" s="53"/>
      <c r="I86" s="39">
        <v>0</v>
      </c>
      <c r="J86" s="39">
        <v>0</v>
      </c>
      <c r="K86" s="51">
        <v>0</v>
      </c>
      <c r="L86" s="51">
        <v>0</v>
      </c>
      <c r="M86" s="2"/>
    </row>
    <row r="87" spans="2:13">
      <c r="B87" s="2"/>
      <c r="C87" s="37" t="s">
        <v>197</v>
      </c>
      <c r="D87" s="38"/>
      <c r="E87" s="34" t="s">
        <v>103</v>
      </c>
      <c r="F87" s="39">
        <v>0</v>
      </c>
      <c r="G87" s="39">
        <v>0</v>
      </c>
      <c r="H87" s="53"/>
      <c r="I87" s="39">
        <v>0</v>
      </c>
      <c r="J87" s="39">
        <v>0</v>
      </c>
      <c r="K87" s="51">
        <v>0</v>
      </c>
      <c r="L87" s="51">
        <v>0</v>
      </c>
      <c r="M87" s="2"/>
    </row>
    <row r="88" spans="2:13">
      <c r="B88" s="2"/>
      <c r="C88" s="37" t="s">
        <v>198</v>
      </c>
      <c r="D88" s="38"/>
      <c r="E88" s="34" t="s">
        <v>103</v>
      </c>
      <c r="F88" s="39">
        <v>0</v>
      </c>
      <c r="G88" s="39">
        <v>0</v>
      </c>
      <c r="H88" s="53"/>
      <c r="I88" s="39">
        <v>0</v>
      </c>
      <c r="J88" s="39">
        <v>0</v>
      </c>
      <c r="K88" s="51">
        <v>0</v>
      </c>
      <c r="L88" s="51">
        <v>0</v>
      </c>
      <c r="M88" s="2"/>
    </row>
    <row r="89" spans="2:13">
      <c r="B89" s="2"/>
      <c r="C89" s="37" t="s">
        <v>199</v>
      </c>
      <c r="D89" s="38"/>
      <c r="E89" s="34" t="s">
        <v>103</v>
      </c>
      <c r="F89" s="39">
        <v>0</v>
      </c>
      <c r="G89" s="39">
        <v>0</v>
      </c>
      <c r="H89" s="53"/>
      <c r="I89" s="39">
        <v>0</v>
      </c>
      <c r="J89" s="39">
        <v>0</v>
      </c>
      <c r="K89" s="51">
        <v>0</v>
      </c>
      <c r="L89" s="51">
        <v>0</v>
      </c>
      <c r="M89" s="2"/>
    </row>
    <row r="90" spans="2:13">
      <c r="B90" s="2"/>
      <c r="C90" s="37" t="s">
        <v>200</v>
      </c>
      <c r="D90" s="38"/>
      <c r="E90" s="34" t="s">
        <v>103</v>
      </c>
      <c r="F90" s="39">
        <v>0</v>
      </c>
      <c r="G90" s="39">
        <v>0</v>
      </c>
      <c r="H90" s="53"/>
      <c r="I90" s="39">
        <v>0</v>
      </c>
      <c r="J90" s="39">
        <v>0</v>
      </c>
      <c r="K90" s="51">
        <v>0</v>
      </c>
      <c r="L90" s="51">
        <v>0</v>
      </c>
      <c r="M90" s="2"/>
    </row>
    <row r="91" spans="2:13">
      <c r="B91" s="2"/>
      <c r="C91" s="37" t="s">
        <v>201</v>
      </c>
      <c r="D91" s="38"/>
      <c r="E91" s="34" t="s">
        <v>103</v>
      </c>
      <c r="F91" s="39">
        <v>0</v>
      </c>
      <c r="G91" s="39">
        <v>0</v>
      </c>
      <c r="H91" s="53"/>
      <c r="I91" s="39">
        <v>0</v>
      </c>
      <c r="J91" s="39">
        <v>0</v>
      </c>
      <c r="K91" s="51">
        <v>0</v>
      </c>
      <c r="L91" s="51">
        <v>0</v>
      </c>
      <c r="M91" s="2"/>
    </row>
    <row r="92" spans="2:13">
      <c r="B92" s="2"/>
      <c r="C92" s="37" t="s">
        <v>202</v>
      </c>
      <c r="D92" s="38"/>
      <c r="E92" s="34" t="s">
        <v>103</v>
      </c>
      <c r="F92" s="39">
        <v>0</v>
      </c>
      <c r="G92" s="39">
        <v>0</v>
      </c>
      <c r="H92" s="53"/>
      <c r="I92" s="39">
        <v>0</v>
      </c>
      <c r="J92" s="39">
        <v>0</v>
      </c>
      <c r="K92" s="51">
        <v>0</v>
      </c>
      <c r="L92" s="51">
        <v>0</v>
      </c>
      <c r="M92" s="2"/>
    </row>
    <row r="93" spans="2:13">
      <c r="B93" s="2"/>
      <c r="C93" s="37" t="s">
        <v>203</v>
      </c>
      <c r="D93" s="38"/>
      <c r="E93" s="34" t="s">
        <v>103</v>
      </c>
      <c r="F93" s="39">
        <v>0</v>
      </c>
      <c r="G93" s="39">
        <v>0</v>
      </c>
      <c r="H93" s="53"/>
      <c r="I93" s="39">
        <v>0</v>
      </c>
      <c r="J93" s="39">
        <v>0</v>
      </c>
      <c r="K93" s="51">
        <v>0</v>
      </c>
      <c r="L93" s="51">
        <v>0</v>
      </c>
      <c r="M93" s="2"/>
    </row>
    <row r="94" spans="2:13">
      <c r="B94" s="2"/>
      <c r="C94" s="37" t="s">
        <v>204</v>
      </c>
      <c r="D94" s="38"/>
      <c r="E94" s="34" t="s">
        <v>103</v>
      </c>
      <c r="F94" s="39">
        <v>0</v>
      </c>
      <c r="G94" s="39">
        <v>0</v>
      </c>
      <c r="H94" s="53"/>
      <c r="I94" s="39">
        <v>0</v>
      </c>
      <c r="J94" s="39">
        <v>0</v>
      </c>
      <c r="K94" s="51">
        <v>0</v>
      </c>
      <c r="L94" s="51">
        <v>0</v>
      </c>
      <c r="M94" s="2"/>
    </row>
    <row r="95" spans="2:13">
      <c r="B95" s="2"/>
      <c r="C95" s="37" t="s">
        <v>205</v>
      </c>
      <c r="D95" s="38"/>
      <c r="E95" s="34" t="s">
        <v>103</v>
      </c>
      <c r="F95" s="39">
        <v>0</v>
      </c>
      <c r="G95" s="39">
        <v>0</v>
      </c>
      <c r="H95" s="53"/>
      <c r="I95" s="39">
        <v>0</v>
      </c>
      <c r="J95" s="39">
        <v>0</v>
      </c>
      <c r="K95" s="51">
        <v>0</v>
      </c>
      <c r="L95" s="51">
        <v>0</v>
      </c>
      <c r="M95" s="2"/>
    </row>
    <row r="96" spans="2:13">
      <c r="B96" s="2"/>
      <c r="C96" s="37" t="s">
        <v>206</v>
      </c>
      <c r="D96" s="38"/>
      <c r="E96" s="34" t="s">
        <v>103</v>
      </c>
      <c r="F96" s="39">
        <v>0</v>
      </c>
      <c r="G96" s="39">
        <v>0</v>
      </c>
      <c r="H96" s="53"/>
      <c r="I96" s="39">
        <v>0</v>
      </c>
      <c r="J96" s="39">
        <v>0</v>
      </c>
      <c r="K96" s="51">
        <v>0</v>
      </c>
      <c r="L96" s="51">
        <v>0</v>
      </c>
      <c r="M96" s="2"/>
    </row>
    <row r="97" spans="2:13">
      <c r="B97" s="2"/>
      <c r="C97" s="37" t="s">
        <v>207</v>
      </c>
      <c r="D97" s="38"/>
      <c r="E97" s="34" t="s">
        <v>103</v>
      </c>
      <c r="F97" s="39">
        <v>0</v>
      </c>
      <c r="G97" s="39">
        <v>0</v>
      </c>
      <c r="H97" s="53"/>
      <c r="I97" s="39">
        <v>0</v>
      </c>
      <c r="J97" s="39">
        <v>0</v>
      </c>
      <c r="K97" s="51">
        <v>0</v>
      </c>
      <c r="L97" s="51">
        <v>0</v>
      </c>
      <c r="M97" s="2"/>
    </row>
    <row r="98" spans="2:13">
      <c r="B98" s="2"/>
      <c r="C98" s="37" t="s">
        <v>208</v>
      </c>
      <c r="D98" s="38"/>
      <c r="E98" s="34" t="s">
        <v>103</v>
      </c>
      <c r="F98" s="39">
        <v>0</v>
      </c>
      <c r="G98" s="39">
        <v>0</v>
      </c>
      <c r="H98" s="53"/>
      <c r="I98" s="39">
        <v>0</v>
      </c>
      <c r="J98" s="39">
        <v>0</v>
      </c>
      <c r="K98" s="51">
        <v>0</v>
      </c>
      <c r="L98" s="51">
        <v>0</v>
      </c>
      <c r="M98" s="2"/>
    </row>
    <row r="99" spans="2:13">
      <c r="B99" s="2"/>
      <c r="C99" s="37" t="s">
        <v>209</v>
      </c>
      <c r="D99" s="38"/>
      <c r="E99" s="34" t="s">
        <v>103</v>
      </c>
      <c r="F99" s="39">
        <v>0</v>
      </c>
      <c r="G99" s="39">
        <v>0</v>
      </c>
      <c r="H99" s="53"/>
      <c r="I99" s="39">
        <v>0</v>
      </c>
      <c r="J99" s="39">
        <v>0</v>
      </c>
      <c r="K99" s="51">
        <v>0</v>
      </c>
      <c r="L99" s="51">
        <v>0</v>
      </c>
      <c r="M99" s="2"/>
    </row>
    <row r="100" spans="2:13">
      <c r="B100" s="2"/>
      <c r="C100" s="37" t="s">
        <v>210</v>
      </c>
      <c r="D100" s="38"/>
      <c r="E100" s="34" t="s">
        <v>103</v>
      </c>
      <c r="F100" s="39">
        <v>0</v>
      </c>
      <c r="G100" s="39">
        <v>0</v>
      </c>
      <c r="H100" s="53"/>
      <c r="I100" s="39">
        <v>0</v>
      </c>
      <c r="J100" s="39">
        <v>0</v>
      </c>
      <c r="K100" s="51">
        <v>0</v>
      </c>
      <c r="L100" s="51">
        <v>0</v>
      </c>
      <c r="M100" s="2"/>
    </row>
    <row r="101" spans="2:13">
      <c r="B101" s="2"/>
      <c r="C101" s="37" t="s">
        <v>211</v>
      </c>
      <c r="D101" s="38"/>
      <c r="E101" s="34" t="s">
        <v>103</v>
      </c>
      <c r="F101" s="39">
        <v>0</v>
      </c>
      <c r="G101" s="39">
        <v>0</v>
      </c>
      <c r="H101" s="53"/>
      <c r="I101" s="39">
        <v>0</v>
      </c>
      <c r="J101" s="39">
        <v>0</v>
      </c>
      <c r="K101" s="51">
        <v>0</v>
      </c>
      <c r="L101" s="51">
        <v>0</v>
      </c>
      <c r="M101" s="2"/>
    </row>
    <row r="102" spans="2:13">
      <c r="B102" s="2"/>
      <c r="C102" s="37" t="s">
        <v>212</v>
      </c>
      <c r="D102" s="38"/>
      <c r="E102" s="34" t="s">
        <v>103</v>
      </c>
      <c r="F102" s="39">
        <v>0</v>
      </c>
      <c r="G102" s="39">
        <v>0</v>
      </c>
      <c r="H102" s="53"/>
      <c r="I102" s="39">
        <v>0</v>
      </c>
      <c r="J102" s="39">
        <v>0</v>
      </c>
      <c r="K102" s="51">
        <v>0</v>
      </c>
      <c r="L102" s="51">
        <v>0</v>
      </c>
      <c r="M102" s="2"/>
    </row>
    <row r="103" spans="2:13">
      <c r="B103" s="2"/>
      <c r="C103" s="37" t="s">
        <v>213</v>
      </c>
      <c r="D103" s="38"/>
      <c r="E103" s="34" t="s">
        <v>103</v>
      </c>
      <c r="F103" s="39">
        <v>0</v>
      </c>
      <c r="G103" s="39">
        <v>0</v>
      </c>
      <c r="H103" s="53"/>
      <c r="I103" s="39">
        <v>0</v>
      </c>
      <c r="J103" s="39">
        <v>0</v>
      </c>
      <c r="K103" s="51">
        <v>0</v>
      </c>
      <c r="L103" s="51">
        <v>0</v>
      </c>
      <c r="M103" s="2"/>
    </row>
    <row r="104" spans="2:13">
      <c r="B104" s="2"/>
      <c r="C104" s="37" t="s">
        <v>214</v>
      </c>
      <c r="D104" s="38"/>
      <c r="E104" s="34" t="s">
        <v>103</v>
      </c>
      <c r="F104" s="39">
        <v>0</v>
      </c>
      <c r="G104" s="39">
        <v>0</v>
      </c>
      <c r="H104" s="53"/>
      <c r="I104" s="39">
        <v>0</v>
      </c>
      <c r="J104" s="39">
        <v>0</v>
      </c>
      <c r="K104" s="51">
        <v>0</v>
      </c>
      <c r="L104" s="51">
        <v>0</v>
      </c>
      <c r="M104" s="2"/>
    </row>
    <row r="105" spans="2:13">
      <c r="B105" s="2"/>
      <c r="C105" s="37" t="s">
        <v>215</v>
      </c>
      <c r="D105" s="38"/>
      <c r="E105" s="34" t="s">
        <v>103</v>
      </c>
      <c r="F105" s="39">
        <v>0</v>
      </c>
      <c r="G105" s="39">
        <v>0</v>
      </c>
      <c r="H105" s="53"/>
      <c r="I105" s="39">
        <v>0</v>
      </c>
      <c r="J105" s="39">
        <v>0</v>
      </c>
      <c r="K105" s="51">
        <v>0</v>
      </c>
      <c r="L105" s="51">
        <v>0</v>
      </c>
      <c r="M105" s="2"/>
    </row>
    <row r="106" spans="2:13">
      <c r="B106" s="2"/>
      <c r="C106" s="37" t="s">
        <v>216</v>
      </c>
      <c r="D106" s="38"/>
      <c r="E106" s="34" t="s">
        <v>103</v>
      </c>
      <c r="F106" s="39">
        <v>0</v>
      </c>
      <c r="G106" s="39">
        <v>0</v>
      </c>
      <c r="H106" s="53"/>
      <c r="I106" s="39">
        <v>0</v>
      </c>
      <c r="J106" s="39">
        <v>0</v>
      </c>
      <c r="K106" s="51">
        <v>0</v>
      </c>
      <c r="L106" s="51">
        <v>0</v>
      </c>
      <c r="M106" s="2"/>
    </row>
    <row r="107" spans="2:13">
      <c r="B107" s="2"/>
      <c r="C107" s="37" t="s">
        <v>217</v>
      </c>
      <c r="D107" s="38"/>
      <c r="E107" s="34" t="s">
        <v>103</v>
      </c>
      <c r="F107" s="39">
        <v>0</v>
      </c>
      <c r="G107" s="39">
        <v>0</v>
      </c>
      <c r="H107" s="53"/>
      <c r="I107" s="39">
        <v>0</v>
      </c>
      <c r="J107" s="39">
        <v>0</v>
      </c>
      <c r="K107" s="51">
        <v>0</v>
      </c>
      <c r="L107" s="51">
        <v>0</v>
      </c>
      <c r="M107" s="2"/>
    </row>
    <row r="108" spans="2:13">
      <c r="B108" s="2"/>
      <c r="C108" s="37" t="s">
        <v>218</v>
      </c>
      <c r="D108" s="38"/>
      <c r="E108" s="34" t="s">
        <v>103</v>
      </c>
      <c r="F108" s="39">
        <v>0</v>
      </c>
      <c r="G108" s="39">
        <v>0</v>
      </c>
      <c r="H108" s="53"/>
      <c r="I108" s="39">
        <v>0</v>
      </c>
      <c r="J108" s="39">
        <v>0</v>
      </c>
      <c r="K108" s="51">
        <v>0</v>
      </c>
      <c r="L108" s="51">
        <v>0</v>
      </c>
      <c r="M108" s="2"/>
    </row>
    <row r="109" spans="2:13">
      <c r="B109" s="2"/>
      <c r="C109" s="37" t="s">
        <v>219</v>
      </c>
      <c r="D109" s="38"/>
      <c r="E109" s="34" t="s">
        <v>103</v>
      </c>
      <c r="F109" s="39">
        <v>0</v>
      </c>
      <c r="G109" s="39">
        <v>0</v>
      </c>
      <c r="H109" s="53"/>
      <c r="I109" s="39">
        <v>0</v>
      </c>
      <c r="J109" s="39">
        <v>0</v>
      </c>
      <c r="K109" s="51">
        <v>0</v>
      </c>
      <c r="L109" s="51">
        <v>0</v>
      </c>
      <c r="M109" s="2"/>
    </row>
    <row r="110" spans="2:13">
      <c r="B110" s="2"/>
      <c r="C110" s="37" t="s">
        <v>220</v>
      </c>
      <c r="D110" s="38"/>
      <c r="E110" s="34" t="s">
        <v>103</v>
      </c>
      <c r="F110" s="39">
        <v>0</v>
      </c>
      <c r="G110" s="39">
        <v>0</v>
      </c>
      <c r="H110" s="53"/>
      <c r="I110" s="39">
        <v>0</v>
      </c>
      <c r="J110" s="39">
        <v>0</v>
      </c>
      <c r="K110" s="51">
        <v>0</v>
      </c>
      <c r="L110" s="51">
        <v>0</v>
      </c>
      <c r="M110" s="2"/>
    </row>
    <row r="111" spans="2:13">
      <c r="B111" s="2"/>
      <c r="C111" s="37" t="s">
        <v>221</v>
      </c>
      <c r="D111" s="38"/>
      <c r="E111" s="34" t="s">
        <v>103</v>
      </c>
      <c r="F111" s="39">
        <v>0</v>
      </c>
      <c r="G111" s="39">
        <v>0</v>
      </c>
      <c r="H111" s="53"/>
      <c r="I111" s="39">
        <v>0</v>
      </c>
      <c r="J111" s="39">
        <v>0</v>
      </c>
      <c r="K111" s="51">
        <v>0</v>
      </c>
      <c r="L111" s="51">
        <v>0</v>
      </c>
      <c r="M111" s="2"/>
    </row>
    <row r="112" spans="2:13">
      <c r="B112" s="2"/>
      <c r="C112" s="37" t="s">
        <v>222</v>
      </c>
      <c r="D112" s="38"/>
      <c r="E112" s="34" t="s">
        <v>103</v>
      </c>
      <c r="F112" s="39">
        <v>0</v>
      </c>
      <c r="G112" s="39">
        <v>0</v>
      </c>
      <c r="H112" s="53"/>
      <c r="I112" s="39">
        <v>0</v>
      </c>
      <c r="J112" s="39">
        <v>0</v>
      </c>
      <c r="K112" s="51">
        <v>0</v>
      </c>
      <c r="L112" s="51">
        <v>0</v>
      </c>
      <c r="M112" s="2"/>
    </row>
    <row r="113" spans="1:13">
      <c r="B113" s="2"/>
      <c r="C113" s="37" t="s">
        <v>223</v>
      </c>
      <c r="D113" s="38"/>
      <c r="E113" s="34" t="s">
        <v>103</v>
      </c>
      <c r="F113" s="39">
        <v>0</v>
      </c>
      <c r="G113" s="39">
        <v>0</v>
      </c>
      <c r="H113" s="53"/>
      <c r="I113" s="39">
        <v>0</v>
      </c>
      <c r="J113" s="39">
        <v>0</v>
      </c>
      <c r="K113" s="51">
        <v>0</v>
      </c>
      <c r="L113" s="51">
        <v>0</v>
      </c>
      <c r="M113" s="2"/>
    </row>
    <row r="114" spans="1:13" s="14" customFormat="1">
      <c r="B114" s="5"/>
      <c r="C114" s="49" t="s">
        <v>224</v>
      </c>
      <c r="D114" s="50"/>
      <c r="E114" s="34" t="s">
        <v>103</v>
      </c>
      <c r="F114" s="39">
        <v>0</v>
      </c>
      <c r="G114" s="39">
        <v>0</v>
      </c>
      <c r="H114" s="53"/>
      <c r="I114" s="39">
        <v>0</v>
      </c>
      <c r="J114" s="39">
        <v>0</v>
      </c>
      <c r="K114" s="51">
        <v>0</v>
      </c>
      <c r="L114" s="51">
        <v>0</v>
      </c>
      <c r="M114" s="5"/>
    </row>
    <row r="115" spans="1:13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39">
        <v>0</v>
      </c>
      <c r="G115" s="39">
        <v>0</v>
      </c>
      <c r="H115" s="53"/>
      <c r="I115" s="39">
        <v>0</v>
      </c>
      <c r="J115" s="39">
        <v>0</v>
      </c>
      <c r="K115" s="51">
        <v>0</v>
      </c>
      <c r="L115" s="51">
        <v>0</v>
      </c>
      <c r="M115" s="5"/>
    </row>
    <row r="116" spans="1:13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</sheetData>
  <sheetProtection sheet="1" formatColumns="0" formatRows="0" insertRows="0" deleteRows="0" selectLockedCells="1"/>
  <mergeCells count="914">
    <mergeCell ref="C7:L7"/>
    <mergeCell ref="C9:L9"/>
    <mergeCell ref="C10:L10"/>
    <mergeCell ref="C11:L11"/>
    <mergeCell ref="C13:L13"/>
    <mergeCell ref="I14:I15"/>
    <mergeCell ref="J14:J15"/>
    <mergeCell ref="K14:K15"/>
    <mergeCell ref="L14:L15"/>
    <mergeCell ref="C16:D16"/>
    <mergeCell ref="E16"/>
    <mergeCell ref="F16"/>
    <mergeCell ref="G16"/>
    <mergeCell ref="H16"/>
    <mergeCell ref="I16"/>
    <mergeCell ref="J16"/>
    <mergeCell ref="K16"/>
    <mergeCell ref="L16"/>
    <mergeCell ref="C14:D15"/>
    <mergeCell ref="E14:E15"/>
    <mergeCell ref="F14:F15"/>
    <mergeCell ref="G14:G15"/>
    <mergeCell ref="H14:H15"/>
    <mergeCell ref="I17"/>
    <mergeCell ref="J17"/>
    <mergeCell ref="K17"/>
    <mergeCell ref="L17"/>
    <mergeCell ref="C18:D18"/>
    <mergeCell ref="E18"/>
    <mergeCell ref="F18"/>
    <mergeCell ref="G18"/>
    <mergeCell ref="H18"/>
    <mergeCell ref="I18"/>
    <mergeCell ref="J18"/>
    <mergeCell ref="K18"/>
    <mergeCell ref="L18"/>
    <mergeCell ref="C17:D17"/>
    <mergeCell ref="E17"/>
    <mergeCell ref="F17"/>
    <mergeCell ref="G17"/>
    <mergeCell ref="H17"/>
    <mergeCell ref="I19"/>
    <mergeCell ref="J19"/>
    <mergeCell ref="K19"/>
    <mergeCell ref="L19"/>
    <mergeCell ref="C20:D20"/>
    <mergeCell ref="E20"/>
    <mergeCell ref="F20"/>
    <mergeCell ref="G20"/>
    <mergeCell ref="H20"/>
    <mergeCell ref="I20"/>
    <mergeCell ref="J20"/>
    <mergeCell ref="K20"/>
    <mergeCell ref="L20"/>
    <mergeCell ref="C19:D19"/>
    <mergeCell ref="E19"/>
    <mergeCell ref="F19"/>
    <mergeCell ref="G19"/>
    <mergeCell ref="H19"/>
    <mergeCell ref="I21"/>
    <mergeCell ref="J21"/>
    <mergeCell ref="K21"/>
    <mergeCell ref="L21"/>
    <mergeCell ref="C22:D22"/>
    <mergeCell ref="E22"/>
    <mergeCell ref="F22"/>
    <mergeCell ref="G22"/>
    <mergeCell ref="H22"/>
    <mergeCell ref="I22"/>
    <mergeCell ref="J22"/>
    <mergeCell ref="K22"/>
    <mergeCell ref="L22"/>
    <mergeCell ref="C21:D21"/>
    <mergeCell ref="E21"/>
    <mergeCell ref="F21"/>
    <mergeCell ref="G21"/>
    <mergeCell ref="H21"/>
    <mergeCell ref="I23"/>
    <mergeCell ref="J23"/>
    <mergeCell ref="K23"/>
    <mergeCell ref="L23"/>
    <mergeCell ref="C24:D24"/>
    <mergeCell ref="E24"/>
    <mergeCell ref="F24"/>
    <mergeCell ref="G24"/>
    <mergeCell ref="H24"/>
    <mergeCell ref="I24"/>
    <mergeCell ref="J24"/>
    <mergeCell ref="K24"/>
    <mergeCell ref="L24"/>
    <mergeCell ref="C23:D23"/>
    <mergeCell ref="E23"/>
    <mergeCell ref="F23"/>
    <mergeCell ref="G23"/>
    <mergeCell ref="H23"/>
    <mergeCell ref="I25"/>
    <mergeCell ref="J25"/>
    <mergeCell ref="K25"/>
    <mergeCell ref="L25"/>
    <mergeCell ref="C26:D26"/>
    <mergeCell ref="E26"/>
    <mergeCell ref="F26"/>
    <mergeCell ref="G26"/>
    <mergeCell ref="H26"/>
    <mergeCell ref="I26"/>
    <mergeCell ref="J26"/>
    <mergeCell ref="K26"/>
    <mergeCell ref="L26"/>
    <mergeCell ref="C25:D25"/>
    <mergeCell ref="E25"/>
    <mergeCell ref="F25"/>
    <mergeCell ref="G25"/>
    <mergeCell ref="H25"/>
    <mergeCell ref="I27"/>
    <mergeCell ref="J27"/>
    <mergeCell ref="K27"/>
    <mergeCell ref="L27"/>
    <mergeCell ref="C28:D28"/>
    <mergeCell ref="E28"/>
    <mergeCell ref="F28"/>
    <mergeCell ref="G28"/>
    <mergeCell ref="H28"/>
    <mergeCell ref="I28"/>
    <mergeCell ref="J28"/>
    <mergeCell ref="K28"/>
    <mergeCell ref="L28"/>
    <mergeCell ref="C27:D27"/>
    <mergeCell ref="E27"/>
    <mergeCell ref="F27"/>
    <mergeCell ref="G27"/>
    <mergeCell ref="H27"/>
    <mergeCell ref="I29"/>
    <mergeCell ref="J29"/>
    <mergeCell ref="K29"/>
    <mergeCell ref="L29"/>
    <mergeCell ref="C30:D30"/>
    <mergeCell ref="E30"/>
    <mergeCell ref="F30"/>
    <mergeCell ref="G30"/>
    <mergeCell ref="H30"/>
    <mergeCell ref="I30"/>
    <mergeCell ref="J30"/>
    <mergeCell ref="K30"/>
    <mergeCell ref="L30"/>
    <mergeCell ref="C29:D29"/>
    <mergeCell ref="E29"/>
    <mergeCell ref="F29"/>
    <mergeCell ref="G29"/>
    <mergeCell ref="H29"/>
    <mergeCell ref="I31"/>
    <mergeCell ref="J31"/>
    <mergeCell ref="K31"/>
    <mergeCell ref="L31"/>
    <mergeCell ref="C32:D32"/>
    <mergeCell ref="E32"/>
    <mergeCell ref="F32"/>
    <mergeCell ref="G32"/>
    <mergeCell ref="H32"/>
    <mergeCell ref="I32"/>
    <mergeCell ref="J32"/>
    <mergeCell ref="K32"/>
    <mergeCell ref="L32"/>
    <mergeCell ref="C31:D31"/>
    <mergeCell ref="E31"/>
    <mergeCell ref="F31"/>
    <mergeCell ref="G31"/>
    <mergeCell ref="H31"/>
    <mergeCell ref="I33"/>
    <mergeCell ref="J33"/>
    <mergeCell ref="K33"/>
    <mergeCell ref="L33"/>
    <mergeCell ref="C34:D34"/>
    <mergeCell ref="E34"/>
    <mergeCell ref="F34"/>
    <mergeCell ref="G34"/>
    <mergeCell ref="H34"/>
    <mergeCell ref="I34"/>
    <mergeCell ref="J34"/>
    <mergeCell ref="K34"/>
    <mergeCell ref="L34"/>
    <mergeCell ref="C33:D33"/>
    <mergeCell ref="E33"/>
    <mergeCell ref="F33"/>
    <mergeCell ref="G33"/>
    <mergeCell ref="H33"/>
    <mergeCell ref="I35"/>
    <mergeCell ref="J35"/>
    <mergeCell ref="K35"/>
    <mergeCell ref="L35"/>
    <mergeCell ref="C36:D36"/>
    <mergeCell ref="E36"/>
    <mergeCell ref="F36"/>
    <mergeCell ref="G36"/>
    <mergeCell ref="H36"/>
    <mergeCell ref="I36"/>
    <mergeCell ref="J36"/>
    <mergeCell ref="K36"/>
    <mergeCell ref="L36"/>
    <mergeCell ref="C35:D35"/>
    <mergeCell ref="E35"/>
    <mergeCell ref="F35"/>
    <mergeCell ref="G35"/>
    <mergeCell ref="H35"/>
    <mergeCell ref="I37"/>
    <mergeCell ref="J37"/>
    <mergeCell ref="K37"/>
    <mergeCell ref="L37"/>
    <mergeCell ref="C38:D38"/>
    <mergeCell ref="E38"/>
    <mergeCell ref="F38"/>
    <mergeCell ref="G38"/>
    <mergeCell ref="H38"/>
    <mergeCell ref="I38"/>
    <mergeCell ref="J38"/>
    <mergeCell ref="K38"/>
    <mergeCell ref="L38"/>
    <mergeCell ref="C37:D37"/>
    <mergeCell ref="E37"/>
    <mergeCell ref="F37"/>
    <mergeCell ref="G37"/>
    <mergeCell ref="H37"/>
    <mergeCell ref="I39"/>
    <mergeCell ref="J39"/>
    <mergeCell ref="K39"/>
    <mergeCell ref="L39"/>
    <mergeCell ref="C40:D40"/>
    <mergeCell ref="E40"/>
    <mergeCell ref="F40"/>
    <mergeCell ref="G40"/>
    <mergeCell ref="H40"/>
    <mergeCell ref="I40"/>
    <mergeCell ref="J40"/>
    <mergeCell ref="K40"/>
    <mergeCell ref="L40"/>
    <mergeCell ref="C39:D39"/>
    <mergeCell ref="E39"/>
    <mergeCell ref="F39"/>
    <mergeCell ref="G39"/>
    <mergeCell ref="H39"/>
    <mergeCell ref="I41"/>
    <mergeCell ref="J41"/>
    <mergeCell ref="K41"/>
    <mergeCell ref="L41"/>
    <mergeCell ref="C42:D42"/>
    <mergeCell ref="E42"/>
    <mergeCell ref="F42"/>
    <mergeCell ref="G42"/>
    <mergeCell ref="H42"/>
    <mergeCell ref="I42"/>
    <mergeCell ref="J42"/>
    <mergeCell ref="K42"/>
    <mergeCell ref="L42"/>
    <mergeCell ref="C41:D41"/>
    <mergeCell ref="E41"/>
    <mergeCell ref="F41"/>
    <mergeCell ref="G41"/>
    <mergeCell ref="H41"/>
    <mergeCell ref="I43"/>
    <mergeCell ref="J43"/>
    <mergeCell ref="K43"/>
    <mergeCell ref="L43"/>
    <mergeCell ref="C44:D44"/>
    <mergeCell ref="E44"/>
    <mergeCell ref="F44"/>
    <mergeCell ref="G44"/>
    <mergeCell ref="H44"/>
    <mergeCell ref="I44"/>
    <mergeCell ref="J44"/>
    <mergeCell ref="K44"/>
    <mergeCell ref="L44"/>
    <mergeCell ref="C43:D43"/>
    <mergeCell ref="E43"/>
    <mergeCell ref="F43"/>
    <mergeCell ref="G43"/>
    <mergeCell ref="H43"/>
    <mergeCell ref="I45"/>
    <mergeCell ref="J45"/>
    <mergeCell ref="K45"/>
    <mergeCell ref="L45"/>
    <mergeCell ref="C46:D46"/>
    <mergeCell ref="E46"/>
    <mergeCell ref="F46"/>
    <mergeCell ref="G46"/>
    <mergeCell ref="H46"/>
    <mergeCell ref="I46"/>
    <mergeCell ref="J46"/>
    <mergeCell ref="K46"/>
    <mergeCell ref="L46"/>
    <mergeCell ref="C45:D45"/>
    <mergeCell ref="E45"/>
    <mergeCell ref="F45"/>
    <mergeCell ref="G45"/>
    <mergeCell ref="H45"/>
    <mergeCell ref="I47"/>
    <mergeCell ref="J47"/>
    <mergeCell ref="K47"/>
    <mergeCell ref="L47"/>
    <mergeCell ref="C48:D48"/>
    <mergeCell ref="E48"/>
    <mergeCell ref="F48"/>
    <mergeCell ref="G48"/>
    <mergeCell ref="H48"/>
    <mergeCell ref="I48"/>
    <mergeCell ref="J48"/>
    <mergeCell ref="K48"/>
    <mergeCell ref="L48"/>
    <mergeCell ref="C47:D47"/>
    <mergeCell ref="E47"/>
    <mergeCell ref="F47"/>
    <mergeCell ref="G47"/>
    <mergeCell ref="H47"/>
    <mergeCell ref="I49"/>
    <mergeCell ref="J49"/>
    <mergeCell ref="K49"/>
    <mergeCell ref="L49"/>
    <mergeCell ref="C50:D50"/>
    <mergeCell ref="E50"/>
    <mergeCell ref="F50"/>
    <mergeCell ref="G50"/>
    <mergeCell ref="H50"/>
    <mergeCell ref="I50"/>
    <mergeCell ref="J50"/>
    <mergeCell ref="K50"/>
    <mergeCell ref="L50"/>
    <mergeCell ref="C49:D49"/>
    <mergeCell ref="E49"/>
    <mergeCell ref="F49"/>
    <mergeCell ref="G49"/>
    <mergeCell ref="H49"/>
    <mergeCell ref="I51"/>
    <mergeCell ref="J51"/>
    <mergeCell ref="K51"/>
    <mergeCell ref="L51"/>
    <mergeCell ref="C52:D52"/>
    <mergeCell ref="E52"/>
    <mergeCell ref="F52"/>
    <mergeCell ref="G52"/>
    <mergeCell ref="H52"/>
    <mergeCell ref="I52"/>
    <mergeCell ref="J52"/>
    <mergeCell ref="K52"/>
    <mergeCell ref="L52"/>
    <mergeCell ref="C51:D51"/>
    <mergeCell ref="E51"/>
    <mergeCell ref="F51"/>
    <mergeCell ref="G51"/>
    <mergeCell ref="H51"/>
    <mergeCell ref="I53"/>
    <mergeCell ref="J53"/>
    <mergeCell ref="K53"/>
    <mergeCell ref="L53"/>
    <mergeCell ref="C54:D54"/>
    <mergeCell ref="E54"/>
    <mergeCell ref="F54"/>
    <mergeCell ref="G54"/>
    <mergeCell ref="H54"/>
    <mergeCell ref="I54"/>
    <mergeCell ref="J54"/>
    <mergeCell ref="K54"/>
    <mergeCell ref="L54"/>
    <mergeCell ref="C53:D53"/>
    <mergeCell ref="E53"/>
    <mergeCell ref="F53"/>
    <mergeCell ref="G53"/>
    <mergeCell ref="H53"/>
    <mergeCell ref="I55"/>
    <mergeCell ref="J55"/>
    <mergeCell ref="K55"/>
    <mergeCell ref="L55"/>
    <mergeCell ref="C56:D56"/>
    <mergeCell ref="E56"/>
    <mergeCell ref="F56"/>
    <mergeCell ref="G56"/>
    <mergeCell ref="H56"/>
    <mergeCell ref="I56"/>
    <mergeCell ref="J56"/>
    <mergeCell ref="K56"/>
    <mergeCell ref="L56"/>
    <mergeCell ref="C55:D55"/>
    <mergeCell ref="E55"/>
    <mergeCell ref="F55"/>
    <mergeCell ref="G55"/>
    <mergeCell ref="H55"/>
    <mergeCell ref="I57"/>
    <mergeCell ref="J57"/>
    <mergeCell ref="K57"/>
    <mergeCell ref="L57"/>
    <mergeCell ref="C58:D58"/>
    <mergeCell ref="E58"/>
    <mergeCell ref="F58"/>
    <mergeCell ref="G58"/>
    <mergeCell ref="H58"/>
    <mergeCell ref="I58"/>
    <mergeCell ref="J58"/>
    <mergeCell ref="K58"/>
    <mergeCell ref="L58"/>
    <mergeCell ref="C57:D57"/>
    <mergeCell ref="E57"/>
    <mergeCell ref="F57"/>
    <mergeCell ref="G57"/>
    <mergeCell ref="H57"/>
    <mergeCell ref="I59"/>
    <mergeCell ref="J59"/>
    <mergeCell ref="K59"/>
    <mergeCell ref="L59"/>
    <mergeCell ref="C60:D60"/>
    <mergeCell ref="E60"/>
    <mergeCell ref="F60"/>
    <mergeCell ref="G60"/>
    <mergeCell ref="H60"/>
    <mergeCell ref="I60"/>
    <mergeCell ref="J60"/>
    <mergeCell ref="K60"/>
    <mergeCell ref="L60"/>
    <mergeCell ref="C59:D59"/>
    <mergeCell ref="E59"/>
    <mergeCell ref="F59"/>
    <mergeCell ref="G59"/>
    <mergeCell ref="H59"/>
    <mergeCell ref="I61"/>
    <mergeCell ref="J61"/>
    <mergeCell ref="K61"/>
    <mergeCell ref="L61"/>
    <mergeCell ref="C62:D62"/>
    <mergeCell ref="E62"/>
    <mergeCell ref="F62"/>
    <mergeCell ref="G62"/>
    <mergeCell ref="H62"/>
    <mergeCell ref="I62"/>
    <mergeCell ref="J62"/>
    <mergeCell ref="K62"/>
    <mergeCell ref="L62"/>
    <mergeCell ref="C61:D61"/>
    <mergeCell ref="E61"/>
    <mergeCell ref="F61"/>
    <mergeCell ref="G61"/>
    <mergeCell ref="H61"/>
    <mergeCell ref="I63"/>
    <mergeCell ref="J63"/>
    <mergeCell ref="K63"/>
    <mergeCell ref="L63"/>
    <mergeCell ref="C64:D64"/>
    <mergeCell ref="E64"/>
    <mergeCell ref="F64"/>
    <mergeCell ref="G64"/>
    <mergeCell ref="H64"/>
    <mergeCell ref="I64"/>
    <mergeCell ref="J64"/>
    <mergeCell ref="K64"/>
    <mergeCell ref="L64"/>
    <mergeCell ref="C63:D63"/>
    <mergeCell ref="E63"/>
    <mergeCell ref="F63"/>
    <mergeCell ref="G63"/>
    <mergeCell ref="H63"/>
    <mergeCell ref="I65"/>
    <mergeCell ref="J65"/>
    <mergeCell ref="K65"/>
    <mergeCell ref="L65"/>
    <mergeCell ref="C66:D66"/>
    <mergeCell ref="E66"/>
    <mergeCell ref="F66"/>
    <mergeCell ref="G66"/>
    <mergeCell ref="H66"/>
    <mergeCell ref="I66"/>
    <mergeCell ref="J66"/>
    <mergeCell ref="K66"/>
    <mergeCell ref="L66"/>
    <mergeCell ref="C65:D65"/>
    <mergeCell ref="E65"/>
    <mergeCell ref="F65"/>
    <mergeCell ref="G65"/>
    <mergeCell ref="H65"/>
    <mergeCell ref="I67"/>
    <mergeCell ref="J67"/>
    <mergeCell ref="K67"/>
    <mergeCell ref="L67"/>
    <mergeCell ref="C68:D68"/>
    <mergeCell ref="E68"/>
    <mergeCell ref="F68"/>
    <mergeCell ref="G68"/>
    <mergeCell ref="H68"/>
    <mergeCell ref="I68"/>
    <mergeCell ref="J68"/>
    <mergeCell ref="K68"/>
    <mergeCell ref="L68"/>
    <mergeCell ref="C67:D67"/>
    <mergeCell ref="E67"/>
    <mergeCell ref="F67"/>
    <mergeCell ref="G67"/>
    <mergeCell ref="H67"/>
    <mergeCell ref="I69"/>
    <mergeCell ref="J69"/>
    <mergeCell ref="K69"/>
    <mergeCell ref="L69"/>
    <mergeCell ref="C70:D70"/>
    <mergeCell ref="E70"/>
    <mergeCell ref="F70"/>
    <mergeCell ref="G70"/>
    <mergeCell ref="H70"/>
    <mergeCell ref="I70"/>
    <mergeCell ref="J70"/>
    <mergeCell ref="K70"/>
    <mergeCell ref="L70"/>
    <mergeCell ref="C69:D69"/>
    <mergeCell ref="E69"/>
    <mergeCell ref="F69"/>
    <mergeCell ref="G69"/>
    <mergeCell ref="H69"/>
    <mergeCell ref="I71"/>
    <mergeCell ref="J71"/>
    <mergeCell ref="K71"/>
    <mergeCell ref="L71"/>
    <mergeCell ref="C72:D72"/>
    <mergeCell ref="E72"/>
    <mergeCell ref="F72"/>
    <mergeCell ref="G72"/>
    <mergeCell ref="H72"/>
    <mergeCell ref="I72"/>
    <mergeCell ref="J72"/>
    <mergeCell ref="K72"/>
    <mergeCell ref="L72"/>
    <mergeCell ref="C71:D71"/>
    <mergeCell ref="E71"/>
    <mergeCell ref="F71"/>
    <mergeCell ref="G71"/>
    <mergeCell ref="H71"/>
    <mergeCell ref="I73"/>
    <mergeCell ref="J73"/>
    <mergeCell ref="K73"/>
    <mergeCell ref="L73"/>
    <mergeCell ref="C74:D74"/>
    <mergeCell ref="E74"/>
    <mergeCell ref="F74"/>
    <mergeCell ref="G74"/>
    <mergeCell ref="H74"/>
    <mergeCell ref="I74"/>
    <mergeCell ref="J74"/>
    <mergeCell ref="K74"/>
    <mergeCell ref="L74"/>
    <mergeCell ref="C73:D73"/>
    <mergeCell ref="E73"/>
    <mergeCell ref="F73"/>
    <mergeCell ref="G73"/>
    <mergeCell ref="H73"/>
    <mergeCell ref="I75"/>
    <mergeCell ref="J75"/>
    <mergeCell ref="K75"/>
    <mergeCell ref="L75"/>
    <mergeCell ref="C76:D76"/>
    <mergeCell ref="E76"/>
    <mergeCell ref="F76"/>
    <mergeCell ref="G76"/>
    <mergeCell ref="H76"/>
    <mergeCell ref="I76"/>
    <mergeCell ref="J76"/>
    <mergeCell ref="K76"/>
    <mergeCell ref="L76"/>
    <mergeCell ref="C75:D75"/>
    <mergeCell ref="E75"/>
    <mergeCell ref="F75"/>
    <mergeCell ref="G75"/>
    <mergeCell ref="H75"/>
    <mergeCell ref="I77"/>
    <mergeCell ref="J77"/>
    <mergeCell ref="K77"/>
    <mergeCell ref="L77"/>
    <mergeCell ref="C78:D78"/>
    <mergeCell ref="E78"/>
    <mergeCell ref="F78"/>
    <mergeCell ref="G78"/>
    <mergeCell ref="H78"/>
    <mergeCell ref="I78"/>
    <mergeCell ref="J78"/>
    <mergeCell ref="K78"/>
    <mergeCell ref="L78"/>
    <mergeCell ref="C77:D77"/>
    <mergeCell ref="E77"/>
    <mergeCell ref="F77"/>
    <mergeCell ref="G77"/>
    <mergeCell ref="H77"/>
    <mergeCell ref="I79"/>
    <mergeCell ref="J79"/>
    <mergeCell ref="K79"/>
    <mergeCell ref="L79"/>
    <mergeCell ref="C80:D80"/>
    <mergeCell ref="E80"/>
    <mergeCell ref="F80"/>
    <mergeCell ref="G80"/>
    <mergeCell ref="H80"/>
    <mergeCell ref="I80"/>
    <mergeCell ref="J80"/>
    <mergeCell ref="K80"/>
    <mergeCell ref="L80"/>
    <mergeCell ref="C79:D79"/>
    <mergeCell ref="E79"/>
    <mergeCell ref="F79"/>
    <mergeCell ref="G79"/>
    <mergeCell ref="H79"/>
    <mergeCell ref="I81"/>
    <mergeCell ref="J81"/>
    <mergeCell ref="K81"/>
    <mergeCell ref="L81"/>
    <mergeCell ref="C82:D82"/>
    <mergeCell ref="E82"/>
    <mergeCell ref="F82"/>
    <mergeCell ref="G82"/>
    <mergeCell ref="H82"/>
    <mergeCell ref="I82"/>
    <mergeCell ref="J82"/>
    <mergeCell ref="K82"/>
    <mergeCell ref="L82"/>
    <mergeCell ref="C81:D81"/>
    <mergeCell ref="E81"/>
    <mergeCell ref="F81"/>
    <mergeCell ref="G81"/>
    <mergeCell ref="H81"/>
    <mergeCell ref="I83"/>
    <mergeCell ref="J83"/>
    <mergeCell ref="K83"/>
    <mergeCell ref="L83"/>
    <mergeCell ref="C84:D84"/>
    <mergeCell ref="E84"/>
    <mergeCell ref="F84"/>
    <mergeCell ref="G84"/>
    <mergeCell ref="H84"/>
    <mergeCell ref="I84"/>
    <mergeCell ref="J84"/>
    <mergeCell ref="K84"/>
    <mergeCell ref="L84"/>
    <mergeCell ref="C83:D83"/>
    <mergeCell ref="E83"/>
    <mergeCell ref="F83"/>
    <mergeCell ref="G83"/>
    <mergeCell ref="H83"/>
    <mergeCell ref="I85"/>
    <mergeCell ref="J85"/>
    <mergeCell ref="K85"/>
    <mergeCell ref="L85"/>
    <mergeCell ref="C86:D86"/>
    <mergeCell ref="E86"/>
    <mergeCell ref="F86"/>
    <mergeCell ref="G86"/>
    <mergeCell ref="H86"/>
    <mergeCell ref="I86"/>
    <mergeCell ref="J86"/>
    <mergeCell ref="K86"/>
    <mergeCell ref="L86"/>
    <mergeCell ref="C85:D85"/>
    <mergeCell ref="E85"/>
    <mergeCell ref="F85"/>
    <mergeCell ref="G85"/>
    <mergeCell ref="H85"/>
    <mergeCell ref="I87"/>
    <mergeCell ref="J87"/>
    <mergeCell ref="K87"/>
    <mergeCell ref="L87"/>
    <mergeCell ref="C88:D88"/>
    <mergeCell ref="E88"/>
    <mergeCell ref="F88"/>
    <mergeCell ref="G88"/>
    <mergeCell ref="H88"/>
    <mergeCell ref="I88"/>
    <mergeCell ref="J88"/>
    <mergeCell ref="K88"/>
    <mergeCell ref="L88"/>
    <mergeCell ref="C87:D87"/>
    <mergeCell ref="E87"/>
    <mergeCell ref="F87"/>
    <mergeCell ref="G87"/>
    <mergeCell ref="H87"/>
    <mergeCell ref="I89"/>
    <mergeCell ref="J89"/>
    <mergeCell ref="K89"/>
    <mergeCell ref="L89"/>
    <mergeCell ref="C90:D90"/>
    <mergeCell ref="E90"/>
    <mergeCell ref="F90"/>
    <mergeCell ref="G90"/>
    <mergeCell ref="H90"/>
    <mergeCell ref="I90"/>
    <mergeCell ref="J90"/>
    <mergeCell ref="K90"/>
    <mergeCell ref="L90"/>
    <mergeCell ref="C89:D89"/>
    <mergeCell ref="E89"/>
    <mergeCell ref="F89"/>
    <mergeCell ref="G89"/>
    <mergeCell ref="H89"/>
    <mergeCell ref="I91"/>
    <mergeCell ref="J91"/>
    <mergeCell ref="K91"/>
    <mergeCell ref="L91"/>
    <mergeCell ref="C92:D92"/>
    <mergeCell ref="E92"/>
    <mergeCell ref="F92"/>
    <mergeCell ref="G92"/>
    <mergeCell ref="H92"/>
    <mergeCell ref="I92"/>
    <mergeCell ref="J92"/>
    <mergeCell ref="K92"/>
    <mergeCell ref="L92"/>
    <mergeCell ref="C91:D91"/>
    <mergeCell ref="E91"/>
    <mergeCell ref="F91"/>
    <mergeCell ref="G91"/>
    <mergeCell ref="H91"/>
    <mergeCell ref="I93"/>
    <mergeCell ref="J93"/>
    <mergeCell ref="K93"/>
    <mergeCell ref="L93"/>
    <mergeCell ref="C94:D94"/>
    <mergeCell ref="E94"/>
    <mergeCell ref="F94"/>
    <mergeCell ref="G94"/>
    <mergeCell ref="H94"/>
    <mergeCell ref="I94"/>
    <mergeCell ref="J94"/>
    <mergeCell ref="K94"/>
    <mergeCell ref="L94"/>
    <mergeCell ref="C93:D93"/>
    <mergeCell ref="E93"/>
    <mergeCell ref="F93"/>
    <mergeCell ref="G93"/>
    <mergeCell ref="H93"/>
    <mergeCell ref="I95"/>
    <mergeCell ref="J95"/>
    <mergeCell ref="K95"/>
    <mergeCell ref="L95"/>
    <mergeCell ref="C96:D96"/>
    <mergeCell ref="E96"/>
    <mergeCell ref="F96"/>
    <mergeCell ref="G96"/>
    <mergeCell ref="H96"/>
    <mergeCell ref="I96"/>
    <mergeCell ref="J96"/>
    <mergeCell ref="K96"/>
    <mergeCell ref="L96"/>
    <mergeCell ref="C95:D95"/>
    <mergeCell ref="E95"/>
    <mergeCell ref="F95"/>
    <mergeCell ref="G95"/>
    <mergeCell ref="H95"/>
    <mergeCell ref="I97"/>
    <mergeCell ref="J97"/>
    <mergeCell ref="K97"/>
    <mergeCell ref="L97"/>
    <mergeCell ref="C98:D98"/>
    <mergeCell ref="E98"/>
    <mergeCell ref="F98"/>
    <mergeCell ref="G98"/>
    <mergeCell ref="H98"/>
    <mergeCell ref="I98"/>
    <mergeCell ref="J98"/>
    <mergeCell ref="K98"/>
    <mergeCell ref="L98"/>
    <mergeCell ref="C97:D97"/>
    <mergeCell ref="E97"/>
    <mergeCell ref="F97"/>
    <mergeCell ref="G97"/>
    <mergeCell ref="H97"/>
    <mergeCell ref="I99"/>
    <mergeCell ref="J99"/>
    <mergeCell ref="K99"/>
    <mergeCell ref="L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C99:D99"/>
    <mergeCell ref="E99"/>
    <mergeCell ref="F99"/>
    <mergeCell ref="G99"/>
    <mergeCell ref="H99"/>
    <mergeCell ref="I101"/>
    <mergeCell ref="J101"/>
    <mergeCell ref="K101"/>
    <mergeCell ref="L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C101:D101"/>
    <mergeCell ref="E101"/>
    <mergeCell ref="F101"/>
    <mergeCell ref="G101"/>
    <mergeCell ref="H101"/>
    <mergeCell ref="I103"/>
    <mergeCell ref="J103"/>
    <mergeCell ref="K103"/>
    <mergeCell ref="L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C103:D103"/>
    <mergeCell ref="E103"/>
    <mergeCell ref="F103"/>
    <mergeCell ref="G103"/>
    <mergeCell ref="H103"/>
    <mergeCell ref="I105"/>
    <mergeCell ref="J105"/>
    <mergeCell ref="K105"/>
    <mergeCell ref="L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C105:D105"/>
    <mergeCell ref="E105"/>
    <mergeCell ref="F105"/>
    <mergeCell ref="G105"/>
    <mergeCell ref="H105"/>
    <mergeCell ref="I107"/>
    <mergeCell ref="J107"/>
    <mergeCell ref="K107"/>
    <mergeCell ref="L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C107:D107"/>
    <mergeCell ref="E107"/>
    <mergeCell ref="F107"/>
    <mergeCell ref="G107"/>
    <mergeCell ref="H107"/>
    <mergeCell ref="I109"/>
    <mergeCell ref="J109"/>
    <mergeCell ref="K109"/>
    <mergeCell ref="L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C109:D109"/>
    <mergeCell ref="E109"/>
    <mergeCell ref="F109"/>
    <mergeCell ref="G109"/>
    <mergeCell ref="H109"/>
    <mergeCell ref="I111"/>
    <mergeCell ref="J111"/>
    <mergeCell ref="K111"/>
    <mergeCell ref="L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C111:D111"/>
    <mergeCell ref="E111"/>
    <mergeCell ref="F111"/>
    <mergeCell ref="G111"/>
    <mergeCell ref="H111"/>
    <mergeCell ref="I113"/>
    <mergeCell ref="J113"/>
    <mergeCell ref="K113"/>
    <mergeCell ref="L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C113:D113"/>
    <mergeCell ref="E113"/>
    <mergeCell ref="F113"/>
    <mergeCell ref="G113"/>
    <mergeCell ref="H113"/>
    <mergeCell ref="I115"/>
    <mergeCell ref="J115"/>
    <mergeCell ref="K115"/>
    <mergeCell ref="L115"/>
    <mergeCell ref="C115:D115"/>
    <mergeCell ref="E115"/>
    <mergeCell ref="F115"/>
    <mergeCell ref="G115"/>
    <mergeCell ref="H115"/>
  </mergeCells>
  <dataValidations count="7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ate" showErrorMessage="1" errorTitle="Kesalahan Jenis Data" error="Data yang dimasukkan harus berupa tanggal!" sqref="H16">
      <formula1>0</formula1>
      <formula2>2958465.99999999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ate" showErrorMessage="1" errorTitle="Kesalahan Jenis Data" error="Data yang dimasukkan harus berupa tanggal!" sqref="H17">
      <formula1>0</formula1>
      <formula2>2958465.99999999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ate" showErrorMessage="1" errorTitle="Kesalahan Jenis Data" error="Data yang dimasukkan harus berupa tanggal!" sqref="H18">
      <formula1>0</formula1>
      <formula2>2958465.99999999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ate" showErrorMessage="1" errorTitle="Kesalahan Jenis Data" error="Data yang dimasukkan harus berupa tanggal!" sqref="H19">
      <formula1>0</formula1>
      <formula2>2958465.99999999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ate" showErrorMessage="1" errorTitle="Kesalahan Jenis Data" error="Data yang dimasukkan harus berupa tanggal!" sqref="H20">
      <formula1>0</formula1>
      <formula2>2958465.99999999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ate" showErrorMessage="1" errorTitle="Kesalahan Jenis Data" error="Data yang dimasukkan harus berupa tanggal!" sqref="H21">
      <formula1>0</formula1>
      <formula2>2958465.99999999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ate" showErrorMessage="1" errorTitle="Kesalahan Jenis Data" error="Data yang dimasukkan harus berupa tanggal!" sqref="H22">
      <formula1>0</formula1>
      <formula2>2958465.99999999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ate" showErrorMessage="1" errorTitle="Kesalahan Jenis Data" error="Data yang dimasukkan harus berupa tanggal!" sqref="H23">
      <formula1>0</formula1>
      <formula2>2958465.99999999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ate" showErrorMessage="1" errorTitle="Kesalahan Jenis Data" error="Data yang dimasukkan harus berupa tanggal!" sqref="H24">
      <formula1>0</formula1>
      <formula2>2958465.99999999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ate" showErrorMessage="1" errorTitle="Kesalahan Jenis Data" error="Data yang dimasukkan harus berupa tanggal!" sqref="H25">
      <formula1>0</formula1>
      <formula2>2958465.99999999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ate" showErrorMessage="1" errorTitle="Kesalahan Jenis Data" error="Data yang dimasukkan harus berupa tanggal!" sqref="H26">
      <formula1>0</formula1>
      <formula2>2958465.99999999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ate" showErrorMessage="1" errorTitle="Kesalahan Jenis Data" error="Data yang dimasukkan harus berupa tanggal!" sqref="H27">
      <formula1>0</formula1>
      <formula2>2958465.99999999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ate" showErrorMessage="1" errorTitle="Kesalahan Jenis Data" error="Data yang dimasukkan harus berupa tanggal!" sqref="H28">
      <formula1>0</formula1>
      <formula2>2958465.99999999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ate" showErrorMessage="1" errorTitle="Kesalahan Jenis Data" error="Data yang dimasukkan harus berupa tanggal!" sqref="H29">
      <formula1>0</formula1>
      <formula2>2958465.99999999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ate" showErrorMessage="1" errorTitle="Kesalahan Jenis Data" error="Data yang dimasukkan harus berupa tanggal!" sqref="H30">
      <formula1>0</formula1>
      <formula2>2958465.99999999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ate" showErrorMessage="1" errorTitle="Kesalahan Jenis Data" error="Data yang dimasukkan harus berupa tanggal!" sqref="H31">
      <formula1>0</formula1>
      <formula2>2958465.99999999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ate" showErrorMessage="1" errorTitle="Kesalahan Jenis Data" error="Data yang dimasukkan harus berupa tanggal!" sqref="H32">
      <formula1>0</formula1>
      <formula2>2958465.99999999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ate" showErrorMessage="1" errorTitle="Kesalahan Jenis Data" error="Data yang dimasukkan harus berupa tanggal!" sqref="H33">
      <formula1>0</formula1>
      <formula2>2958465.99999999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ate" showErrorMessage="1" errorTitle="Kesalahan Jenis Data" error="Data yang dimasukkan harus berupa tanggal!" sqref="H34">
      <formula1>0</formula1>
      <formula2>2958465.99999999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ate" showErrorMessage="1" errorTitle="Kesalahan Jenis Data" error="Data yang dimasukkan harus berupa tanggal!" sqref="H35">
      <formula1>0</formula1>
      <formula2>2958465.99999999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ate" showErrorMessage="1" errorTitle="Kesalahan Jenis Data" error="Data yang dimasukkan harus berupa tanggal!" sqref="H36">
      <formula1>0</formula1>
      <formula2>2958465.99999999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ate" showErrorMessage="1" errorTitle="Kesalahan Jenis Data" error="Data yang dimasukkan harus berupa tanggal!" sqref="H37">
      <formula1>0</formula1>
      <formula2>2958465.99999999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ate" showErrorMessage="1" errorTitle="Kesalahan Jenis Data" error="Data yang dimasukkan harus berupa tanggal!" sqref="H38">
      <formula1>0</formula1>
      <formula2>2958465.99999999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ate" showErrorMessage="1" errorTitle="Kesalahan Jenis Data" error="Data yang dimasukkan harus berupa tanggal!" sqref="H39">
      <formula1>0</formula1>
      <formula2>2958465.99999999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ate" showErrorMessage="1" errorTitle="Kesalahan Jenis Data" error="Data yang dimasukkan harus berupa tanggal!" sqref="H40">
      <formula1>0</formula1>
      <formula2>2958465.99999999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ate" showErrorMessage="1" errorTitle="Kesalahan Jenis Data" error="Data yang dimasukkan harus berupa tanggal!" sqref="H41">
      <formula1>0</formula1>
      <formula2>2958465.99999999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ate" showErrorMessage="1" errorTitle="Kesalahan Jenis Data" error="Data yang dimasukkan harus berupa tanggal!" sqref="H42">
      <formula1>0</formula1>
      <formula2>2958465.99999999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ate" showErrorMessage="1" errorTitle="Kesalahan Jenis Data" error="Data yang dimasukkan harus berupa tanggal!" sqref="H43">
      <formula1>0</formula1>
      <formula2>2958465.99999999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ate" showErrorMessage="1" errorTitle="Kesalahan Jenis Data" error="Data yang dimasukkan harus berupa tanggal!" sqref="H44">
      <formula1>0</formula1>
      <formula2>2958465.99999999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ate" showErrorMessage="1" errorTitle="Kesalahan Jenis Data" error="Data yang dimasukkan harus berupa tanggal!" sqref="H45">
      <formula1>0</formula1>
      <formula2>2958465.99999999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ate" showErrorMessage="1" errorTitle="Kesalahan Jenis Data" error="Data yang dimasukkan harus berupa tanggal!" sqref="H46">
      <formula1>0</formula1>
      <formula2>2958465.99999999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ate" showErrorMessage="1" errorTitle="Kesalahan Jenis Data" error="Data yang dimasukkan harus berupa tanggal!" sqref="H47">
      <formula1>0</formula1>
      <formula2>2958465.99999999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ate" showErrorMessage="1" errorTitle="Kesalahan Jenis Data" error="Data yang dimasukkan harus berupa tanggal!" sqref="H48">
      <formula1>0</formula1>
      <formula2>2958465.99999999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ate" showErrorMessage="1" errorTitle="Kesalahan Jenis Data" error="Data yang dimasukkan harus berupa tanggal!" sqref="H49">
      <formula1>0</formula1>
      <formula2>2958465.99999999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ate" showErrorMessage="1" errorTitle="Kesalahan Jenis Data" error="Data yang dimasukkan harus berupa tanggal!" sqref="H50">
      <formula1>0</formula1>
      <formula2>2958465.99999999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ate" showErrorMessage="1" errorTitle="Kesalahan Jenis Data" error="Data yang dimasukkan harus berupa tanggal!" sqref="H51">
      <formula1>0</formula1>
      <formula2>2958465.99999999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ate" showErrorMessage="1" errorTitle="Kesalahan Jenis Data" error="Data yang dimasukkan harus berupa tanggal!" sqref="H52">
      <formula1>0</formula1>
      <formula2>2958465.99999999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ate" showErrorMessage="1" errorTitle="Kesalahan Jenis Data" error="Data yang dimasukkan harus berupa tanggal!" sqref="H53">
      <formula1>0</formula1>
      <formula2>2958465.99999999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ate" showErrorMessage="1" errorTitle="Kesalahan Jenis Data" error="Data yang dimasukkan harus berupa tanggal!" sqref="H54">
      <formula1>0</formula1>
      <formula2>2958465.99999999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ate" showErrorMessage="1" errorTitle="Kesalahan Jenis Data" error="Data yang dimasukkan harus berupa tanggal!" sqref="H55">
      <formula1>0</formula1>
      <formula2>2958465.99999999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ate" showErrorMessage="1" errorTitle="Kesalahan Jenis Data" error="Data yang dimasukkan harus berupa tanggal!" sqref="H56">
      <formula1>0</formula1>
      <formula2>2958465.99999999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ate" showErrorMessage="1" errorTitle="Kesalahan Jenis Data" error="Data yang dimasukkan harus berupa tanggal!" sqref="H57">
      <formula1>0</formula1>
      <formula2>2958465.99999999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ate" showErrorMessage="1" errorTitle="Kesalahan Jenis Data" error="Data yang dimasukkan harus berupa tanggal!" sqref="H58">
      <formula1>0</formula1>
      <formula2>2958465.99999999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ate" showErrorMessage="1" errorTitle="Kesalahan Jenis Data" error="Data yang dimasukkan harus berupa tanggal!" sqref="H59">
      <formula1>0</formula1>
      <formula2>2958465.99999999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ate" showErrorMessage="1" errorTitle="Kesalahan Jenis Data" error="Data yang dimasukkan harus berupa tanggal!" sqref="H60">
      <formula1>0</formula1>
      <formula2>2958465.99999999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ate" showErrorMessage="1" errorTitle="Kesalahan Jenis Data" error="Data yang dimasukkan harus berupa tanggal!" sqref="H61">
      <formula1>0</formula1>
      <formula2>2958465.99999999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ate" showErrorMessage="1" errorTitle="Kesalahan Jenis Data" error="Data yang dimasukkan harus berupa tanggal!" sqref="H62">
      <formula1>0</formula1>
      <formula2>2958465.99999999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ate" showErrorMessage="1" errorTitle="Kesalahan Jenis Data" error="Data yang dimasukkan harus berupa tanggal!" sqref="H63">
      <formula1>0</formula1>
      <formula2>2958465.99999999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ate" showErrorMessage="1" errorTitle="Kesalahan Jenis Data" error="Data yang dimasukkan harus berupa tanggal!" sqref="H64">
      <formula1>0</formula1>
      <formula2>2958465.99999999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ate" showErrorMessage="1" errorTitle="Kesalahan Jenis Data" error="Data yang dimasukkan harus berupa tanggal!" sqref="H65">
      <formula1>0</formula1>
      <formula2>2958465.99999999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ate" showErrorMessage="1" errorTitle="Kesalahan Jenis Data" error="Data yang dimasukkan harus berupa tanggal!" sqref="H66">
      <formula1>0</formula1>
      <formula2>2958465.99999999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ate" showErrorMessage="1" errorTitle="Kesalahan Jenis Data" error="Data yang dimasukkan harus berupa tanggal!" sqref="H67">
      <formula1>0</formula1>
      <formula2>2958465.99999999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ate" showErrorMessage="1" errorTitle="Kesalahan Jenis Data" error="Data yang dimasukkan harus berupa tanggal!" sqref="H68">
      <formula1>0</formula1>
      <formula2>2958465.99999999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ate" showErrorMessage="1" errorTitle="Kesalahan Jenis Data" error="Data yang dimasukkan harus berupa tanggal!" sqref="H69">
      <formula1>0</formula1>
      <formula2>2958465.99999999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ate" showErrorMessage="1" errorTitle="Kesalahan Jenis Data" error="Data yang dimasukkan harus berupa tanggal!" sqref="H70">
      <formula1>0</formula1>
      <formula2>2958465.99999999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ate" showErrorMessage="1" errorTitle="Kesalahan Jenis Data" error="Data yang dimasukkan harus berupa tanggal!" sqref="H71">
      <formula1>0</formula1>
      <formula2>2958465.99999999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ate" showErrorMessage="1" errorTitle="Kesalahan Jenis Data" error="Data yang dimasukkan harus berupa tanggal!" sqref="H72">
      <formula1>0</formula1>
      <formula2>2958465.99999999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ate" showErrorMessage="1" errorTitle="Kesalahan Jenis Data" error="Data yang dimasukkan harus berupa tanggal!" sqref="H73">
      <formula1>0</formula1>
      <formula2>2958465.99999999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ate" showErrorMessage="1" errorTitle="Kesalahan Jenis Data" error="Data yang dimasukkan harus berupa tanggal!" sqref="H74">
      <formula1>0</formula1>
      <formula2>2958465.99999999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ate" showErrorMessage="1" errorTitle="Kesalahan Jenis Data" error="Data yang dimasukkan harus berupa tanggal!" sqref="H75">
      <formula1>0</formula1>
      <formula2>2958465.99999999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ate" showErrorMessage="1" errorTitle="Kesalahan Jenis Data" error="Data yang dimasukkan harus berupa tanggal!" sqref="H76">
      <formula1>0</formula1>
      <formula2>2958465.99999999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ate" showErrorMessage="1" errorTitle="Kesalahan Jenis Data" error="Data yang dimasukkan harus berupa tanggal!" sqref="H77">
      <formula1>0</formula1>
      <formula2>2958465.99999999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ate" showErrorMessage="1" errorTitle="Kesalahan Jenis Data" error="Data yang dimasukkan harus berupa tanggal!" sqref="H78">
      <formula1>0</formula1>
      <formula2>2958465.99999999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ate" showErrorMessage="1" errorTitle="Kesalahan Jenis Data" error="Data yang dimasukkan harus berupa tanggal!" sqref="H79">
      <formula1>0</formula1>
      <formula2>2958465.99999999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ate" showErrorMessage="1" errorTitle="Kesalahan Jenis Data" error="Data yang dimasukkan harus berupa tanggal!" sqref="H80">
      <formula1>0</formula1>
      <formula2>2958465.99999999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ate" showErrorMessage="1" errorTitle="Kesalahan Jenis Data" error="Data yang dimasukkan harus berupa tanggal!" sqref="H81">
      <formula1>0</formula1>
      <formula2>2958465.99999999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ate" showErrorMessage="1" errorTitle="Kesalahan Jenis Data" error="Data yang dimasukkan harus berupa tanggal!" sqref="H82">
      <formula1>0</formula1>
      <formula2>2958465.99999999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ate" showErrorMessage="1" errorTitle="Kesalahan Jenis Data" error="Data yang dimasukkan harus berupa tanggal!" sqref="H83">
      <formula1>0</formula1>
      <formula2>2958465.99999999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ate" showErrorMessage="1" errorTitle="Kesalahan Jenis Data" error="Data yang dimasukkan harus berupa tanggal!" sqref="H84">
      <formula1>0</formula1>
      <formula2>2958465.99999999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ate" showErrorMessage="1" errorTitle="Kesalahan Jenis Data" error="Data yang dimasukkan harus berupa tanggal!" sqref="H85">
      <formula1>0</formula1>
      <formula2>2958465.99999999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ate" showErrorMessage="1" errorTitle="Kesalahan Jenis Data" error="Data yang dimasukkan harus berupa tanggal!" sqref="H86">
      <formula1>0</formula1>
      <formula2>2958465.99999999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ate" showErrorMessage="1" errorTitle="Kesalahan Jenis Data" error="Data yang dimasukkan harus berupa tanggal!" sqref="H87">
      <formula1>0</formula1>
      <formula2>2958465.99999999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ate" showErrorMessage="1" errorTitle="Kesalahan Jenis Data" error="Data yang dimasukkan harus berupa tanggal!" sqref="H88">
      <formula1>0</formula1>
      <formula2>2958465.99999999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ate" showErrorMessage="1" errorTitle="Kesalahan Jenis Data" error="Data yang dimasukkan harus berupa tanggal!" sqref="H89">
      <formula1>0</formula1>
      <formula2>2958465.99999999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ate" showErrorMessage="1" errorTitle="Kesalahan Jenis Data" error="Data yang dimasukkan harus berupa tanggal!" sqref="H90">
      <formula1>0</formula1>
      <formula2>2958465.99999999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ate" showErrorMessage="1" errorTitle="Kesalahan Jenis Data" error="Data yang dimasukkan harus berupa tanggal!" sqref="H91">
      <formula1>0</formula1>
      <formula2>2958465.99999999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ate" showErrorMessage="1" errorTitle="Kesalahan Jenis Data" error="Data yang dimasukkan harus berupa tanggal!" sqref="H92">
      <formula1>0</formula1>
      <formula2>2958465.99999999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ate" showErrorMessage="1" errorTitle="Kesalahan Jenis Data" error="Data yang dimasukkan harus berupa tanggal!" sqref="H93">
      <formula1>0</formula1>
      <formula2>2958465.99999999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ate" showErrorMessage="1" errorTitle="Kesalahan Jenis Data" error="Data yang dimasukkan harus berupa tanggal!" sqref="H94">
      <formula1>0</formula1>
      <formula2>2958465.99999999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ate" showErrorMessage="1" errorTitle="Kesalahan Jenis Data" error="Data yang dimasukkan harus berupa tanggal!" sqref="H95">
      <formula1>0</formula1>
      <formula2>2958465.99999999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ate" showErrorMessage="1" errorTitle="Kesalahan Jenis Data" error="Data yang dimasukkan harus berupa tanggal!" sqref="H96">
      <formula1>0</formula1>
      <formula2>2958465.99999999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ate" showErrorMessage="1" errorTitle="Kesalahan Jenis Data" error="Data yang dimasukkan harus berupa tanggal!" sqref="H97">
      <formula1>0</formula1>
      <formula2>2958465.99999999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ate" showErrorMessage="1" errorTitle="Kesalahan Jenis Data" error="Data yang dimasukkan harus berupa tanggal!" sqref="H98">
      <formula1>0</formula1>
      <formula2>2958465.99999999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ate" showErrorMessage="1" errorTitle="Kesalahan Jenis Data" error="Data yang dimasukkan harus berupa tanggal!" sqref="H99">
      <formula1>0</formula1>
      <formula2>2958465.99999999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ate" showErrorMessage="1" errorTitle="Kesalahan Jenis Data" error="Data yang dimasukkan harus berupa tanggal!" sqref="H100">
      <formula1>0</formula1>
      <formula2>2958465.99999999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ate" showErrorMessage="1" errorTitle="Kesalahan Jenis Data" error="Data yang dimasukkan harus berupa tanggal!" sqref="H101">
      <formula1>0</formula1>
      <formula2>2958465.99999999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ate" showErrorMessage="1" errorTitle="Kesalahan Jenis Data" error="Data yang dimasukkan harus berupa tanggal!" sqref="H102">
      <formula1>0</formula1>
      <formula2>2958465.99999999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ate" showErrorMessage="1" errorTitle="Kesalahan Jenis Data" error="Data yang dimasukkan harus berupa tanggal!" sqref="H103">
      <formula1>0</formula1>
      <formula2>2958465.99999999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ate" showErrorMessage="1" errorTitle="Kesalahan Jenis Data" error="Data yang dimasukkan harus berupa tanggal!" sqref="H104">
      <formula1>0</formula1>
      <formula2>2958465.99999999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ate" showErrorMessage="1" errorTitle="Kesalahan Jenis Data" error="Data yang dimasukkan harus berupa tanggal!" sqref="H105">
      <formula1>0</formula1>
      <formula2>2958465.99999999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ate" showErrorMessage="1" errorTitle="Kesalahan Jenis Data" error="Data yang dimasukkan harus berupa tanggal!" sqref="H106">
      <formula1>0</formula1>
      <formula2>2958465.99999999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ate" showErrorMessage="1" errorTitle="Kesalahan Jenis Data" error="Data yang dimasukkan harus berupa tanggal!" sqref="H107">
      <formula1>0</formula1>
      <formula2>2958465.99999999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ate" showErrorMessage="1" errorTitle="Kesalahan Jenis Data" error="Data yang dimasukkan harus berupa tanggal!" sqref="H108">
      <formula1>0</formula1>
      <formula2>2958465.99999999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ate" showErrorMessage="1" errorTitle="Kesalahan Jenis Data" error="Data yang dimasukkan harus berupa tanggal!" sqref="H109">
      <formula1>0</formula1>
      <formula2>2958465.99999999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ate" showErrorMessage="1" errorTitle="Kesalahan Jenis Data" error="Data yang dimasukkan harus berupa tanggal!" sqref="H110">
      <formula1>0</formula1>
      <formula2>2958465.99999999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ate" showErrorMessage="1" errorTitle="Kesalahan Jenis Data" error="Data yang dimasukkan harus berupa tanggal!" sqref="H111">
      <formula1>0</formula1>
      <formula2>2958465.99999999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ate" showErrorMessage="1" errorTitle="Kesalahan Jenis Data" error="Data yang dimasukkan harus berupa tanggal!" sqref="H112">
      <formula1>0</formula1>
      <formula2>2958465.99999999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ate" showErrorMessage="1" errorTitle="Kesalahan Jenis Data" error="Data yang dimasukkan harus berupa tanggal!" sqref="H113">
      <formula1>0</formula1>
      <formula2>2958465.99999999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ate" showErrorMessage="1" errorTitle="Kesalahan Jenis Data" error="Data yang dimasukkan harus berupa tanggal!" sqref="H114">
      <formula1>0</formula1>
      <formula2>2958465.99999999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ate" showErrorMessage="1" errorTitle="Kesalahan Jenis Data" error="Data yang dimasukkan harus berupa tanggal!" sqref="H115">
      <formula1>0</formula1>
      <formula2>2958465.99999999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C27" sqref="C27:D27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9" t="s">
        <v>100</v>
      </c>
      <c r="C2" s="2"/>
      <c r="D2" s="2"/>
      <c r="E2" s="2"/>
      <c r="F2" s="2"/>
    </row>
    <row r="3" spans="2:6" hidden="1">
      <c r="B3" s="9" t="s">
        <v>8</v>
      </c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7.25">
      <c r="B7" s="2"/>
      <c r="C7" s="45" t="str">
        <f>UPPER('Data Umum'!D7)</f>
        <v/>
      </c>
      <c r="D7" s="45"/>
      <c r="E7" s="45"/>
      <c r="F7" s="2"/>
    </row>
    <row r="8" spans="2:6">
      <c r="B8" s="2"/>
      <c r="C8" s="2"/>
      <c r="D8" s="2"/>
      <c r="E8" s="2"/>
      <c r="F8" s="2"/>
    </row>
    <row r="9" spans="2:6">
      <c r="B9" s="2"/>
      <c r="C9" s="46" t="s">
        <v>101</v>
      </c>
      <c r="D9" s="46"/>
      <c r="E9" s="46"/>
      <c r="F9" s="2"/>
    </row>
    <row r="10" spans="2:6">
      <c r="B10" s="2"/>
      <c r="C10" s="46"/>
      <c r="D10" s="46"/>
      <c r="E10" s="46"/>
      <c r="F10" s="2"/>
    </row>
    <row r="11" spans="2:6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2"/>
    </row>
    <row r="12" spans="2:6" hidden="1">
      <c r="B12" s="2"/>
      <c r="C12" s="2"/>
      <c r="D12" s="2"/>
      <c r="E12" s="2"/>
      <c r="F12" s="2"/>
    </row>
    <row r="13" spans="2:6">
      <c r="B13" s="2"/>
      <c r="C13" s="48"/>
      <c r="D13" s="48"/>
      <c r="E13" s="48"/>
      <c r="F13" s="2"/>
    </row>
    <row r="14" spans="2:6">
      <c r="B14" s="2"/>
      <c r="C14" s="40"/>
      <c r="D14" s="38"/>
      <c r="E14" s="43" t="str">
        <f>"Keterangan"</f>
        <v>Keterangan</v>
      </c>
      <c r="F14" s="2"/>
    </row>
    <row r="15" spans="2:6">
      <c r="B15" s="2"/>
      <c r="C15" s="41"/>
      <c r="D15" s="42"/>
      <c r="E15" s="44"/>
      <c r="F15" s="2"/>
    </row>
    <row r="16" spans="2:6">
      <c r="B16" s="2"/>
      <c r="C16" s="37" t="s">
        <v>102</v>
      </c>
      <c r="D16" s="38"/>
      <c r="E16" s="34" t="s">
        <v>103</v>
      </c>
      <c r="F16" s="2"/>
    </row>
    <row r="17" spans="2:6">
      <c r="B17" s="2"/>
      <c r="C17" s="37" t="s">
        <v>104</v>
      </c>
      <c r="D17" s="38"/>
      <c r="E17" s="34" t="s">
        <v>103</v>
      </c>
      <c r="F17" s="2"/>
    </row>
    <row r="18" spans="2:6">
      <c r="B18" s="2"/>
      <c r="C18" s="37" t="s">
        <v>105</v>
      </c>
      <c r="D18" s="38"/>
      <c r="E18" s="34" t="s">
        <v>103</v>
      </c>
      <c r="F18" s="2"/>
    </row>
    <row r="19" spans="2:6">
      <c r="B19" s="2"/>
      <c r="C19" s="37" t="s">
        <v>106</v>
      </c>
      <c r="D19" s="38"/>
      <c r="E19" s="34" t="s">
        <v>103</v>
      </c>
      <c r="F19" s="2"/>
    </row>
    <row r="20" spans="2:6">
      <c r="B20" s="2"/>
      <c r="C20" s="37" t="s">
        <v>107</v>
      </c>
      <c r="D20" s="38"/>
      <c r="E20" s="34" t="s">
        <v>103</v>
      </c>
      <c r="F20" s="2"/>
    </row>
    <row r="21" spans="2:6">
      <c r="B21" s="2"/>
      <c r="C21" s="37" t="s">
        <v>108</v>
      </c>
      <c r="D21" s="38"/>
      <c r="E21" s="34" t="s">
        <v>103</v>
      </c>
      <c r="F21" s="2"/>
    </row>
    <row r="22" spans="2:6">
      <c r="B22" s="2"/>
      <c r="C22" s="37" t="s">
        <v>109</v>
      </c>
      <c r="D22" s="38"/>
      <c r="E22" s="39" t="s">
        <v>103</v>
      </c>
      <c r="F22" s="2"/>
    </row>
    <row r="23" spans="2:6">
      <c r="B23" s="2"/>
      <c r="C23" s="37" t="s">
        <v>110</v>
      </c>
      <c r="D23" s="38"/>
      <c r="E23" s="39" t="s">
        <v>103</v>
      </c>
      <c r="F23" s="2"/>
    </row>
    <row r="24" spans="2:6">
      <c r="B24" s="2"/>
      <c r="C24" s="37" t="s">
        <v>111</v>
      </c>
      <c r="D24" s="38"/>
      <c r="E24" s="39" t="s">
        <v>103</v>
      </c>
      <c r="F24" s="2"/>
    </row>
    <row r="25" spans="2:6">
      <c r="B25" s="2"/>
      <c r="C25" s="37" t="s">
        <v>112</v>
      </c>
      <c r="D25" s="38"/>
      <c r="E25" s="34" t="s">
        <v>103</v>
      </c>
      <c r="F25" s="2"/>
    </row>
    <row r="26" spans="2:6">
      <c r="B26" s="2"/>
      <c r="C26" s="37" t="s">
        <v>113</v>
      </c>
      <c r="D26" s="38"/>
      <c r="E26" s="34" t="s">
        <v>103</v>
      </c>
      <c r="F26" s="2"/>
    </row>
    <row r="27" spans="2:6">
      <c r="B27" s="2"/>
      <c r="C27" s="37" t="s">
        <v>114</v>
      </c>
      <c r="D27" s="38"/>
      <c r="E27" s="13" t="str">
        <f>""</f>
        <v/>
      </c>
      <c r="F27" s="2"/>
    </row>
    <row r="28" spans="2:6">
      <c r="B28" s="2"/>
      <c r="C28" s="35" t="s">
        <v>115</v>
      </c>
      <c r="D28" s="36"/>
      <c r="E28" s="13" t="str">
        <f>""</f>
        <v/>
      </c>
      <c r="F28" s="2"/>
    </row>
    <row r="29" spans="2:6">
      <c r="B29" s="2"/>
      <c r="C29" s="32" t="s">
        <v>116</v>
      </c>
      <c r="D29" s="33"/>
      <c r="E29" s="34" t="s">
        <v>103</v>
      </c>
      <c r="F29" s="2"/>
    </row>
    <row r="30" spans="2:6">
      <c r="B30" s="2"/>
      <c r="C30" s="32" t="s">
        <v>117</v>
      </c>
      <c r="D30" s="33"/>
      <c r="E30" s="34" t="s">
        <v>103</v>
      </c>
      <c r="F30" s="2"/>
    </row>
    <row r="31" spans="2:6">
      <c r="B31" s="2"/>
      <c r="C31" s="32" t="s">
        <v>118</v>
      </c>
      <c r="D31" s="33"/>
      <c r="E31" s="34" t="s">
        <v>103</v>
      </c>
      <c r="F31" s="2"/>
    </row>
    <row r="32" spans="2:6">
      <c r="B32" s="2"/>
      <c r="C32" s="32" t="s">
        <v>119</v>
      </c>
      <c r="D32" s="33"/>
      <c r="E32" s="34" t="s">
        <v>103</v>
      </c>
      <c r="F32" s="2"/>
    </row>
    <row r="33" spans="2:6">
      <c r="B33" s="2"/>
      <c r="C33" s="32" t="s">
        <v>120</v>
      </c>
      <c r="D33" s="33"/>
      <c r="E33" s="34" t="s">
        <v>103</v>
      </c>
      <c r="F33" s="2"/>
    </row>
    <row r="34" spans="2:6">
      <c r="B34" s="2"/>
      <c r="C34" s="35" t="s">
        <v>121</v>
      </c>
      <c r="D34" s="36"/>
      <c r="E34" s="13" t="str">
        <f>""</f>
        <v/>
      </c>
      <c r="F34" s="2"/>
    </row>
    <row r="35" spans="2:6">
      <c r="B35" s="2"/>
      <c r="C35" s="32" t="s">
        <v>122</v>
      </c>
      <c r="D35" s="33"/>
      <c r="E35" s="34" t="s">
        <v>103</v>
      </c>
      <c r="F35" s="2"/>
    </row>
    <row r="36" spans="2:6">
      <c r="B36" s="2"/>
      <c r="C36" s="32" t="s">
        <v>123</v>
      </c>
      <c r="D36" s="33"/>
      <c r="E36" s="34" t="s">
        <v>103</v>
      </c>
      <c r="F36" s="2"/>
    </row>
    <row r="37" spans="2:6">
      <c r="B37" s="2"/>
      <c r="C37" s="32" t="s">
        <v>118</v>
      </c>
      <c r="D37" s="33"/>
      <c r="E37" s="34" t="s">
        <v>103</v>
      </c>
      <c r="F37" s="2"/>
    </row>
    <row r="38" spans="2:6">
      <c r="B38" s="2"/>
      <c r="C38" s="32" t="s">
        <v>119</v>
      </c>
      <c r="D38" s="33"/>
      <c r="E38" s="34" t="s">
        <v>103</v>
      </c>
      <c r="F38" s="2"/>
    </row>
    <row r="39" spans="2:6">
      <c r="B39" s="2"/>
      <c r="C39" s="32" t="s">
        <v>106</v>
      </c>
      <c r="D39" s="33"/>
      <c r="E39" s="34" t="s">
        <v>103</v>
      </c>
      <c r="F39" s="2"/>
    </row>
    <row r="40" spans="2:6">
      <c r="B40" s="2"/>
      <c r="C40" s="2"/>
      <c r="D40" s="2"/>
      <c r="E40" s="2"/>
      <c r="F40" s="2"/>
    </row>
    <row r="41" spans="2:6" ht="5.0999999999999996" customHeight="1">
      <c r="B41" s="2"/>
      <c r="C41" s="2"/>
      <c r="D41" s="2"/>
      <c r="E41" s="2"/>
      <c r="F41" s="2"/>
    </row>
  </sheetData>
  <sheetProtection formatColumns="0" formatRows="0" selectLockedCells="1"/>
  <mergeCells count="52">
    <mergeCell ref="C7:E7"/>
    <mergeCell ref="C9:E9"/>
    <mergeCell ref="C10:E10"/>
    <mergeCell ref="C11:E11"/>
    <mergeCell ref="C13:E13"/>
    <mergeCell ref="C14:D15"/>
    <mergeCell ref="E14:E15"/>
    <mergeCell ref="C16:D16"/>
    <mergeCell ref="E16"/>
    <mergeCell ref="C17:D17"/>
    <mergeCell ref="E17"/>
    <mergeCell ref="C18:D18"/>
    <mergeCell ref="E18"/>
    <mergeCell ref="C19:D19"/>
    <mergeCell ref="E19"/>
    <mergeCell ref="C20:D20"/>
    <mergeCell ref="E20"/>
    <mergeCell ref="C21:D21"/>
    <mergeCell ref="E21"/>
    <mergeCell ref="C22:D22"/>
    <mergeCell ref="E22"/>
    <mergeCell ref="C23:D23"/>
    <mergeCell ref="E23"/>
    <mergeCell ref="C24:D24"/>
    <mergeCell ref="E24"/>
    <mergeCell ref="C25:D25"/>
    <mergeCell ref="E25"/>
    <mergeCell ref="C26:D26"/>
    <mergeCell ref="E26"/>
    <mergeCell ref="C27:D27"/>
    <mergeCell ref="C28:D28"/>
    <mergeCell ref="C29:D29"/>
    <mergeCell ref="E29"/>
    <mergeCell ref="C30:D30"/>
    <mergeCell ref="E30"/>
    <mergeCell ref="C31:D31"/>
    <mergeCell ref="E31"/>
    <mergeCell ref="C32:D32"/>
    <mergeCell ref="E32"/>
    <mergeCell ref="C33:D33"/>
    <mergeCell ref="E33"/>
    <mergeCell ref="C34:D34"/>
    <mergeCell ref="C35:D35"/>
    <mergeCell ref="E35"/>
    <mergeCell ref="C36:D36"/>
    <mergeCell ref="E36"/>
    <mergeCell ref="C37:D37"/>
    <mergeCell ref="E37"/>
    <mergeCell ref="C38:D38"/>
    <mergeCell ref="E38"/>
    <mergeCell ref="C39:D39"/>
    <mergeCell ref="E3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1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3" width="30" style="1" customWidth="1"/>
    <col min="14" max="14" width="1" style="1" customWidth="1"/>
    <col min="15" max="15" width="9.140625" style="1" customWidth="1"/>
    <col min="16" max="16384" width="9.140625" style="1"/>
  </cols>
  <sheetData>
    <row r="2" spans="2:14" ht="5.0999999999999996" customHeight="1">
      <c r="B2" s="9" t="s">
        <v>695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2"/>
      <c r="C9" s="46" t="s">
        <v>696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2"/>
    </row>
    <row r="10" spans="2:14">
      <c r="B10" s="2"/>
      <c r="C10" s="46" t="s">
        <v>697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"/>
    </row>
    <row r="11" spans="2:14">
      <c r="B11" s="2"/>
      <c r="C11" s="47" t="str">
        <f>"Bulanan"</f>
        <v>Bulanan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"/>
    </row>
    <row r="12" spans="2:14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2"/>
    </row>
    <row r="14" spans="2:14">
      <c r="B14" s="2"/>
      <c r="C14" s="40" t="s">
        <v>698</v>
      </c>
      <c r="D14" s="38"/>
      <c r="E14" s="40" t="str">
        <f>"Dana Perusahaan"</f>
        <v>Dana Perusahaan</v>
      </c>
      <c r="F14" s="54"/>
      <c r="G14" s="38"/>
      <c r="H14" s="40" t="str">
        <f>"Dana Tabarru'"</f>
        <v>Dana Tabarru'</v>
      </c>
      <c r="I14" s="54"/>
      <c r="J14" s="38"/>
      <c r="K14" s="40" t="str">
        <f>"Gabungan"</f>
        <v>Gabungan</v>
      </c>
      <c r="L14" s="54"/>
      <c r="M14" s="38"/>
      <c r="N14" s="2"/>
    </row>
    <row r="15" spans="2:14">
      <c r="B15" s="2"/>
      <c r="C15" s="41"/>
      <c r="D15" s="42"/>
      <c r="E15" s="43" t="str">
        <f>"Penyisihan Ujroh"</f>
        <v>Penyisihan Ujroh</v>
      </c>
      <c r="F15" s="43" t="str">
        <f>"Penyisihan Ujroh atas PAYDI"</f>
        <v>Penyisihan Ujroh atas PAYDI</v>
      </c>
      <c r="G15" s="43" t="str">
        <f>"Jumlah"</f>
        <v>Jumlah</v>
      </c>
      <c r="H15" s="43" t="str">
        <f>"Penyisihan Risiko"</f>
        <v>Penyisihan Risiko</v>
      </c>
      <c r="I15" s="43" t="str">
        <f>"Penyisihan Risiko atas PAYDI"</f>
        <v>Penyisihan Risiko atas PAYDI</v>
      </c>
      <c r="J15" s="43" t="str">
        <f>"Jumlah"</f>
        <v>Jumlah</v>
      </c>
      <c r="K15" s="43" t="str">
        <f>"Penyisihan Risiko"</f>
        <v>Penyisihan Risiko</v>
      </c>
      <c r="L15" s="43" t="str">
        <f>"Penyisihan Risiko atas PAYDI"</f>
        <v>Penyisihan Risiko atas PAYDI</v>
      </c>
      <c r="M15" s="43" t="str">
        <f>"Jumlah"</f>
        <v>Jumlah</v>
      </c>
      <c r="N15" s="2"/>
    </row>
    <row r="16" spans="2:14">
      <c r="B16" s="2"/>
      <c r="C16" s="37" t="s">
        <v>699</v>
      </c>
      <c r="D16" s="38"/>
      <c r="E16" s="18">
        <f t="shared" ref="E16:M16" si="0">SUM(E17:E32)</f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2"/>
    </row>
    <row r="17" spans="2:14">
      <c r="B17" s="2"/>
      <c r="C17" s="35" t="s">
        <v>650</v>
      </c>
      <c r="D17" s="36"/>
      <c r="E17" s="51">
        <v>0</v>
      </c>
      <c r="F17" s="18">
        <f>0</f>
        <v>0</v>
      </c>
      <c r="G17" s="18">
        <f t="shared" ref="G17:G32" si="1">SUM(E17:F17)</f>
        <v>0</v>
      </c>
      <c r="H17" s="51">
        <v>0</v>
      </c>
      <c r="I17" s="18">
        <f>0</f>
        <v>0</v>
      </c>
      <c r="J17" s="18">
        <f t="shared" ref="J17:J32" si="2">SUM(H17:I17)</f>
        <v>0</v>
      </c>
      <c r="K17" s="18">
        <f t="shared" ref="K17:K32" si="3">E17+H17</f>
        <v>0</v>
      </c>
      <c r="L17" s="18">
        <f t="shared" ref="L17:L32" si="4">F17+I17</f>
        <v>0</v>
      </c>
      <c r="M17" s="18">
        <f t="shared" ref="M17:M32" si="5">SUM(K17:L17)</f>
        <v>0</v>
      </c>
      <c r="N17" s="2"/>
    </row>
    <row r="18" spans="2:14">
      <c r="B18" s="2"/>
      <c r="C18" s="35" t="s">
        <v>651</v>
      </c>
      <c r="D18" s="36"/>
      <c r="E18" s="51">
        <v>0</v>
      </c>
      <c r="F18" s="18">
        <f>0</f>
        <v>0</v>
      </c>
      <c r="G18" s="18">
        <f t="shared" si="1"/>
        <v>0</v>
      </c>
      <c r="H18" s="51">
        <v>0</v>
      </c>
      <c r="I18" s="18">
        <f>0</f>
        <v>0</v>
      </c>
      <c r="J18" s="18">
        <f t="shared" si="2"/>
        <v>0</v>
      </c>
      <c r="K18" s="18">
        <f t="shared" si="3"/>
        <v>0</v>
      </c>
      <c r="L18" s="18">
        <f t="shared" si="4"/>
        <v>0</v>
      </c>
      <c r="M18" s="18">
        <f t="shared" si="5"/>
        <v>0</v>
      </c>
      <c r="N18" s="2"/>
    </row>
    <row r="19" spans="2:14">
      <c r="B19" s="2"/>
      <c r="C19" s="35" t="s">
        <v>652</v>
      </c>
      <c r="D19" s="36"/>
      <c r="E19" s="51">
        <v>0</v>
      </c>
      <c r="F19" s="18">
        <f>0</f>
        <v>0</v>
      </c>
      <c r="G19" s="18">
        <f t="shared" si="1"/>
        <v>0</v>
      </c>
      <c r="H19" s="51">
        <v>0</v>
      </c>
      <c r="I19" s="18">
        <f>0</f>
        <v>0</v>
      </c>
      <c r="J19" s="18">
        <f t="shared" si="2"/>
        <v>0</v>
      </c>
      <c r="K19" s="18">
        <f t="shared" si="3"/>
        <v>0</v>
      </c>
      <c r="L19" s="18">
        <f t="shared" si="4"/>
        <v>0</v>
      </c>
      <c r="M19" s="18">
        <f t="shared" si="5"/>
        <v>0</v>
      </c>
      <c r="N19" s="2"/>
    </row>
    <row r="20" spans="2:14">
      <c r="B20" s="2"/>
      <c r="C20" s="35" t="s">
        <v>653</v>
      </c>
      <c r="D20" s="36"/>
      <c r="E20" s="51">
        <v>0</v>
      </c>
      <c r="F20" s="18">
        <f>0</f>
        <v>0</v>
      </c>
      <c r="G20" s="18">
        <f t="shared" si="1"/>
        <v>0</v>
      </c>
      <c r="H20" s="51">
        <v>0</v>
      </c>
      <c r="I20" s="18">
        <f>0</f>
        <v>0</v>
      </c>
      <c r="J20" s="18">
        <f t="shared" si="2"/>
        <v>0</v>
      </c>
      <c r="K20" s="18">
        <f t="shared" si="3"/>
        <v>0</v>
      </c>
      <c r="L20" s="18">
        <f t="shared" si="4"/>
        <v>0</v>
      </c>
      <c r="M20" s="18">
        <f t="shared" si="5"/>
        <v>0</v>
      </c>
      <c r="N20" s="2"/>
    </row>
    <row r="21" spans="2:14">
      <c r="B21" s="2"/>
      <c r="C21" s="35" t="s">
        <v>654</v>
      </c>
      <c r="D21" s="36"/>
      <c r="E21" s="51">
        <v>0</v>
      </c>
      <c r="F21" s="18">
        <f>0</f>
        <v>0</v>
      </c>
      <c r="G21" s="18">
        <f t="shared" si="1"/>
        <v>0</v>
      </c>
      <c r="H21" s="51">
        <v>0</v>
      </c>
      <c r="I21" s="18">
        <f>0</f>
        <v>0</v>
      </c>
      <c r="J21" s="18">
        <f t="shared" si="2"/>
        <v>0</v>
      </c>
      <c r="K21" s="18">
        <f t="shared" si="3"/>
        <v>0</v>
      </c>
      <c r="L21" s="18">
        <f t="shared" si="4"/>
        <v>0</v>
      </c>
      <c r="M21" s="18">
        <f t="shared" si="5"/>
        <v>0</v>
      </c>
      <c r="N21" s="2"/>
    </row>
    <row r="22" spans="2:14">
      <c r="B22" s="2"/>
      <c r="C22" s="35" t="s">
        <v>655</v>
      </c>
      <c r="D22" s="36"/>
      <c r="E22" s="51">
        <v>0</v>
      </c>
      <c r="F22" s="18">
        <f>0</f>
        <v>0</v>
      </c>
      <c r="G22" s="18">
        <f t="shared" si="1"/>
        <v>0</v>
      </c>
      <c r="H22" s="51">
        <v>0</v>
      </c>
      <c r="I22" s="18">
        <f>0</f>
        <v>0</v>
      </c>
      <c r="J22" s="18">
        <f t="shared" si="2"/>
        <v>0</v>
      </c>
      <c r="K22" s="18">
        <f t="shared" si="3"/>
        <v>0</v>
      </c>
      <c r="L22" s="18">
        <f t="shared" si="4"/>
        <v>0</v>
      </c>
      <c r="M22" s="18">
        <f t="shared" si="5"/>
        <v>0</v>
      </c>
      <c r="N22" s="2"/>
    </row>
    <row r="23" spans="2:14">
      <c r="B23" s="2"/>
      <c r="C23" s="35" t="s">
        <v>656</v>
      </c>
      <c r="D23" s="36"/>
      <c r="E23" s="51">
        <v>0</v>
      </c>
      <c r="F23" s="18">
        <f>0</f>
        <v>0</v>
      </c>
      <c r="G23" s="18">
        <f t="shared" si="1"/>
        <v>0</v>
      </c>
      <c r="H23" s="51">
        <v>0</v>
      </c>
      <c r="I23" s="18">
        <f>0</f>
        <v>0</v>
      </c>
      <c r="J23" s="18">
        <f t="shared" si="2"/>
        <v>0</v>
      </c>
      <c r="K23" s="18">
        <f t="shared" si="3"/>
        <v>0</v>
      </c>
      <c r="L23" s="18">
        <f t="shared" si="4"/>
        <v>0</v>
      </c>
      <c r="M23" s="18">
        <f t="shared" si="5"/>
        <v>0</v>
      </c>
      <c r="N23" s="2"/>
    </row>
    <row r="24" spans="2:14">
      <c r="B24" s="2"/>
      <c r="C24" s="35" t="s">
        <v>657</v>
      </c>
      <c r="D24" s="36"/>
      <c r="E24" s="51">
        <v>0</v>
      </c>
      <c r="F24" s="18">
        <f>0</f>
        <v>0</v>
      </c>
      <c r="G24" s="18">
        <f t="shared" si="1"/>
        <v>0</v>
      </c>
      <c r="H24" s="51">
        <v>0</v>
      </c>
      <c r="I24" s="18">
        <f>0</f>
        <v>0</v>
      </c>
      <c r="J24" s="18">
        <f t="shared" si="2"/>
        <v>0</v>
      </c>
      <c r="K24" s="18">
        <f t="shared" si="3"/>
        <v>0</v>
      </c>
      <c r="L24" s="18">
        <f t="shared" si="4"/>
        <v>0</v>
      </c>
      <c r="M24" s="18">
        <f t="shared" si="5"/>
        <v>0</v>
      </c>
      <c r="N24" s="2"/>
    </row>
    <row r="25" spans="2:14">
      <c r="B25" s="2"/>
      <c r="C25" s="35" t="s">
        <v>658</v>
      </c>
      <c r="D25" s="36"/>
      <c r="E25" s="51">
        <v>0</v>
      </c>
      <c r="F25" s="18">
        <f>0</f>
        <v>0</v>
      </c>
      <c r="G25" s="18">
        <f t="shared" si="1"/>
        <v>0</v>
      </c>
      <c r="H25" s="51">
        <v>0</v>
      </c>
      <c r="I25" s="18">
        <f>0</f>
        <v>0</v>
      </c>
      <c r="J25" s="18">
        <f t="shared" si="2"/>
        <v>0</v>
      </c>
      <c r="K25" s="18">
        <f t="shared" si="3"/>
        <v>0</v>
      </c>
      <c r="L25" s="18">
        <f t="shared" si="4"/>
        <v>0</v>
      </c>
      <c r="M25" s="18">
        <f t="shared" si="5"/>
        <v>0</v>
      </c>
      <c r="N25" s="2"/>
    </row>
    <row r="26" spans="2:14">
      <c r="B26" s="2"/>
      <c r="C26" s="35" t="s">
        <v>659</v>
      </c>
      <c r="D26" s="36"/>
      <c r="E26" s="51">
        <v>0</v>
      </c>
      <c r="F26" s="18">
        <f>0</f>
        <v>0</v>
      </c>
      <c r="G26" s="18">
        <f t="shared" si="1"/>
        <v>0</v>
      </c>
      <c r="H26" s="51">
        <v>0</v>
      </c>
      <c r="I26" s="18">
        <f>0</f>
        <v>0</v>
      </c>
      <c r="J26" s="18">
        <f t="shared" si="2"/>
        <v>0</v>
      </c>
      <c r="K26" s="18">
        <f t="shared" si="3"/>
        <v>0</v>
      </c>
      <c r="L26" s="18">
        <f t="shared" si="4"/>
        <v>0</v>
      </c>
      <c r="M26" s="18">
        <f t="shared" si="5"/>
        <v>0</v>
      </c>
      <c r="N26" s="2"/>
    </row>
    <row r="27" spans="2:14">
      <c r="B27" s="2"/>
      <c r="C27" s="35" t="s">
        <v>662</v>
      </c>
      <c r="D27" s="36"/>
      <c r="E27" s="51">
        <v>0</v>
      </c>
      <c r="F27" s="51">
        <v>0</v>
      </c>
      <c r="G27" s="18">
        <f t="shared" si="1"/>
        <v>0</v>
      </c>
      <c r="H27" s="51">
        <v>0</v>
      </c>
      <c r="I27" s="51">
        <v>0</v>
      </c>
      <c r="J27" s="18">
        <f t="shared" si="2"/>
        <v>0</v>
      </c>
      <c r="K27" s="18">
        <f t="shared" si="3"/>
        <v>0</v>
      </c>
      <c r="L27" s="18">
        <f t="shared" si="4"/>
        <v>0</v>
      </c>
      <c r="M27" s="18">
        <f t="shared" si="5"/>
        <v>0</v>
      </c>
      <c r="N27" s="2"/>
    </row>
    <row r="28" spans="2:14">
      <c r="B28" s="2"/>
      <c r="C28" s="35" t="s">
        <v>661</v>
      </c>
      <c r="D28" s="36"/>
      <c r="E28" s="51">
        <v>0</v>
      </c>
      <c r="F28" s="18">
        <f>0</f>
        <v>0</v>
      </c>
      <c r="G28" s="18">
        <f t="shared" si="1"/>
        <v>0</v>
      </c>
      <c r="H28" s="51">
        <v>0</v>
      </c>
      <c r="I28" s="18">
        <f>0</f>
        <v>0</v>
      </c>
      <c r="J28" s="18">
        <f t="shared" si="2"/>
        <v>0</v>
      </c>
      <c r="K28" s="18">
        <f t="shared" si="3"/>
        <v>0</v>
      </c>
      <c r="L28" s="18">
        <f t="shared" si="4"/>
        <v>0</v>
      </c>
      <c r="M28" s="18">
        <f t="shared" si="5"/>
        <v>0</v>
      </c>
      <c r="N28" s="2"/>
    </row>
    <row r="29" spans="2:14">
      <c r="B29" s="2"/>
      <c r="C29" s="35" t="s">
        <v>700</v>
      </c>
      <c r="D29" s="36"/>
      <c r="E29" s="51">
        <v>0</v>
      </c>
      <c r="F29" s="18">
        <f>0</f>
        <v>0</v>
      </c>
      <c r="G29" s="18">
        <f t="shared" si="1"/>
        <v>0</v>
      </c>
      <c r="H29" s="51">
        <v>0</v>
      </c>
      <c r="I29" s="18">
        <f>0</f>
        <v>0</v>
      </c>
      <c r="J29" s="18">
        <f t="shared" si="2"/>
        <v>0</v>
      </c>
      <c r="K29" s="18">
        <f t="shared" si="3"/>
        <v>0</v>
      </c>
      <c r="L29" s="18">
        <f t="shared" si="4"/>
        <v>0</v>
      </c>
      <c r="M29" s="18">
        <f t="shared" si="5"/>
        <v>0</v>
      </c>
      <c r="N29" s="2"/>
    </row>
    <row r="30" spans="2:14">
      <c r="B30" s="2"/>
      <c r="C30" s="35" t="s">
        <v>701</v>
      </c>
      <c r="D30" s="36"/>
      <c r="E30" s="51">
        <v>0</v>
      </c>
      <c r="F30" s="18">
        <f>0</f>
        <v>0</v>
      </c>
      <c r="G30" s="18">
        <f t="shared" si="1"/>
        <v>0</v>
      </c>
      <c r="H30" s="51">
        <v>0</v>
      </c>
      <c r="I30" s="18">
        <f>0</f>
        <v>0</v>
      </c>
      <c r="J30" s="18">
        <f t="shared" si="2"/>
        <v>0</v>
      </c>
      <c r="K30" s="18">
        <f t="shared" si="3"/>
        <v>0</v>
      </c>
      <c r="L30" s="18">
        <f t="shared" si="4"/>
        <v>0</v>
      </c>
      <c r="M30" s="18">
        <f t="shared" si="5"/>
        <v>0</v>
      </c>
      <c r="N30" s="2"/>
    </row>
    <row r="31" spans="2:14">
      <c r="B31" s="2"/>
      <c r="C31" s="35" t="s">
        <v>660</v>
      </c>
      <c r="D31" s="36"/>
      <c r="E31" s="51">
        <v>0</v>
      </c>
      <c r="F31" s="18">
        <f>0</f>
        <v>0</v>
      </c>
      <c r="G31" s="18">
        <f t="shared" si="1"/>
        <v>0</v>
      </c>
      <c r="H31" s="51">
        <v>0</v>
      </c>
      <c r="I31" s="18">
        <f>0</f>
        <v>0</v>
      </c>
      <c r="J31" s="18">
        <f t="shared" si="2"/>
        <v>0</v>
      </c>
      <c r="K31" s="18">
        <f t="shared" si="3"/>
        <v>0</v>
      </c>
      <c r="L31" s="18">
        <f t="shared" si="4"/>
        <v>0</v>
      </c>
      <c r="M31" s="18">
        <f t="shared" si="5"/>
        <v>0</v>
      </c>
      <c r="N31" s="2"/>
    </row>
    <row r="32" spans="2:14">
      <c r="B32" s="2"/>
      <c r="C32" s="35" t="s">
        <v>663</v>
      </c>
      <c r="D32" s="36"/>
      <c r="E32" s="51">
        <v>0</v>
      </c>
      <c r="F32" s="18">
        <f>0</f>
        <v>0</v>
      </c>
      <c r="G32" s="18">
        <f t="shared" si="1"/>
        <v>0</v>
      </c>
      <c r="H32" s="51">
        <v>0</v>
      </c>
      <c r="I32" s="18">
        <f>0</f>
        <v>0</v>
      </c>
      <c r="J32" s="18">
        <f t="shared" si="2"/>
        <v>0</v>
      </c>
      <c r="K32" s="18">
        <f t="shared" si="3"/>
        <v>0</v>
      </c>
      <c r="L32" s="18">
        <f t="shared" si="4"/>
        <v>0</v>
      </c>
      <c r="M32" s="18">
        <f t="shared" si="5"/>
        <v>0</v>
      </c>
      <c r="N32" s="2"/>
    </row>
    <row r="33" spans="2:14">
      <c r="B33" s="2"/>
      <c r="C33" s="37" t="s">
        <v>702</v>
      </c>
      <c r="D33" s="38"/>
      <c r="E33" s="18">
        <f t="shared" ref="E33:M33" si="6">SUM(E34:E49)</f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2"/>
    </row>
    <row r="34" spans="2:14">
      <c r="B34" s="2"/>
      <c r="C34" s="35" t="s">
        <v>650</v>
      </c>
      <c r="D34" s="36"/>
      <c r="E34" s="51">
        <v>0</v>
      </c>
      <c r="F34" s="18">
        <f>0</f>
        <v>0</v>
      </c>
      <c r="G34" s="18">
        <f t="shared" ref="G34:G49" si="7">SUM(E34:F34)</f>
        <v>0</v>
      </c>
      <c r="H34" s="51">
        <v>0</v>
      </c>
      <c r="I34" s="18">
        <f>0</f>
        <v>0</v>
      </c>
      <c r="J34" s="18">
        <f t="shared" ref="J34:J49" si="8">SUM(H34:I34)</f>
        <v>0</v>
      </c>
      <c r="K34" s="18">
        <f t="shared" ref="K34:K49" si="9">E34+H34</f>
        <v>0</v>
      </c>
      <c r="L34" s="18">
        <f t="shared" ref="L34:L49" si="10">F34+I34</f>
        <v>0</v>
      </c>
      <c r="M34" s="18">
        <f t="shared" ref="M34:M49" si="11">SUM(K34:L34)</f>
        <v>0</v>
      </c>
      <c r="N34" s="2"/>
    </row>
    <row r="35" spans="2:14">
      <c r="B35" s="2"/>
      <c r="C35" s="35" t="s">
        <v>651</v>
      </c>
      <c r="D35" s="36"/>
      <c r="E35" s="51">
        <v>0</v>
      </c>
      <c r="F35" s="18">
        <f>0</f>
        <v>0</v>
      </c>
      <c r="G35" s="18">
        <f t="shared" si="7"/>
        <v>0</v>
      </c>
      <c r="H35" s="51">
        <v>0</v>
      </c>
      <c r="I35" s="18">
        <f>0</f>
        <v>0</v>
      </c>
      <c r="J35" s="18">
        <f t="shared" si="8"/>
        <v>0</v>
      </c>
      <c r="K35" s="18">
        <f t="shared" si="9"/>
        <v>0</v>
      </c>
      <c r="L35" s="18">
        <f t="shared" si="10"/>
        <v>0</v>
      </c>
      <c r="M35" s="18">
        <f t="shared" si="11"/>
        <v>0</v>
      </c>
      <c r="N35" s="2"/>
    </row>
    <row r="36" spans="2:14">
      <c r="B36" s="2"/>
      <c r="C36" s="35" t="s">
        <v>652</v>
      </c>
      <c r="D36" s="36"/>
      <c r="E36" s="51">
        <v>0</v>
      </c>
      <c r="F36" s="18">
        <f>0</f>
        <v>0</v>
      </c>
      <c r="G36" s="18">
        <f t="shared" si="7"/>
        <v>0</v>
      </c>
      <c r="H36" s="51">
        <v>0</v>
      </c>
      <c r="I36" s="18">
        <f>0</f>
        <v>0</v>
      </c>
      <c r="J36" s="18">
        <f t="shared" si="8"/>
        <v>0</v>
      </c>
      <c r="K36" s="18">
        <f t="shared" si="9"/>
        <v>0</v>
      </c>
      <c r="L36" s="18">
        <f t="shared" si="10"/>
        <v>0</v>
      </c>
      <c r="M36" s="18">
        <f t="shared" si="11"/>
        <v>0</v>
      </c>
      <c r="N36" s="2"/>
    </row>
    <row r="37" spans="2:14">
      <c r="B37" s="2"/>
      <c r="C37" s="35" t="s">
        <v>653</v>
      </c>
      <c r="D37" s="36"/>
      <c r="E37" s="51">
        <v>0</v>
      </c>
      <c r="F37" s="18">
        <f>0</f>
        <v>0</v>
      </c>
      <c r="G37" s="18">
        <f t="shared" si="7"/>
        <v>0</v>
      </c>
      <c r="H37" s="51">
        <v>0</v>
      </c>
      <c r="I37" s="18">
        <f>0</f>
        <v>0</v>
      </c>
      <c r="J37" s="18">
        <f t="shared" si="8"/>
        <v>0</v>
      </c>
      <c r="K37" s="18">
        <f t="shared" si="9"/>
        <v>0</v>
      </c>
      <c r="L37" s="18">
        <f t="shared" si="10"/>
        <v>0</v>
      </c>
      <c r="M37" s="18">
        <f t="shared" si="11"/>
        <v>0</v>
      </c>
      <c r="N37" s="2"/>
    </row>
    <row r="38" spans="2:14">
      <c r="B38" s="2"/>
      <c r="C38" s="35" t="s">
        <v>654</v>
      </c>
      <c r="D38" s="36"/>
      <c r="E38" s="51">
        <v>0</v>
      </c>
      <c r="F38" s="18">
        <f>0</f>
        <v>0</v>
      </c>
      <c r="G38" s="18">
        <f t="shared" si="7"/>
        <v>0</v>
      </c>
      <c r="H38" s="51">
        <v>0</v>
      </c>
      <c r="I38" s="18">
        <f>0</f>
        <v>0</v>
      </c>
      <c r="J38" s="18">
        <f t="shared" si="8"/>
        <v>0</v>
      </c>
      <c r="K38" s="18">
        <f t="shared" si="9"/>
        <v>0</v>
      </c>
      <c r="L38" s="18">
        <f t="shared" si="10"/>
        <v>0</v>
      </c>
      <c r="M38" s="18">
        <f t="shared" si="11"/>
        <v>0</v>
      </c>
      <c r="N38" s="2"/>
    </row>
    <row r="39" spans="2:14">
      <c r="B39" s="2"/>
      <c r="C39" s="35" t="s">
        <v>655</v>
      </c>
      <c r="D39" s="36"/>
      <c r="E39" s="51">
        <v>0</v>
      </c>
      <c r="F39" s="18">
        <f>0</f>
        <v>0</v>
      </c>
      <c r="G39" s="18">
        <f t="shared" si="7"/>
        <v>0</v>
      </c>
      <c r="H39" s="51">
        <v>0</v>
      </c>
      <c r="I39" s="18">
        <f>0</f>
        <v>0</v>
      </c>
      <c r="J39" s="18">
        <f t="shared" si="8"/>
        <v>0</v>
      </c>
      <c r="K39" s="18">
        <f t="shared" si="9"/>
        <v>0</v>
      </c>
      <c r="L39" s="18">
        <f t="shared" si="10"/>
        <v>0</v>
      </c>
      <c r="M39" s="18">
        <f t="shared" si="11"/>
        <v>0</v>
      </c>
      <c r="N39" s="2"/>
    </row>
    <row r="40" spans="2:14">
      <c r="B40" s="2"/>
      <c r="C40" s="35" t="s">
        <v>656</v>
      </c>
      <c r="D40" s="36"/>
      <c r="E40" s="51">
        <v>0</v>
      </c>
      <c r="F40" s="18">
        <f>0</f>
        <v>0</v>
      </c>
      <c r="G40" s="18">
        <f t="shared" si="7"/>
        <v>0</v>
      </c>
      <c r="H40" s="51">
        <v>0</v>
      </c>
      <c r="I40" s="18">
        <f>0</f>
        <v>0</v>
      </c>
      <c r="J40" s="18">
        <f t="shared" si="8"/>
        <v>0</v>
      </c>
      <c r="K40" s="18">
        <f t="shared" si="9"/>
        <v>0</v>
      </c>
      <c r="L40" s="18">
        <f t="shared" si="10"/>
        <v>0</v>
      </c>
      <c r="M40" s="18">
        <f t="shared" si="11"/>
        <v>0</v>
      </c>
      <c r="N40" s="2"/>
    </row>
    <row r="41" spans="2:14">
      <c r="B41" s="2"/>
      <c r="C41" s="35" t="s">
        <v>657</v>
      </c>
      <c r="D41" s="36"/>
      <c r="E41" s="51">
        <v>0</v>
      </c>
      <c r="F41" s="18">
        <f>0</f>
        <v>0</v>
      </c>
      <c r="G41" s="18">
        <f t="shared" si="7"/>
        <v>0</v>
      </c>
      <c r="H41" s="51">
        <v>0</v>
      </c>
      <c r="I41" s="18">
        <f>0</f>
        <v>0</v>
      </c>
      <c r="J41" s="18">
        <f t="shared" si="8"/>
        <v>0</v>
      </c>
      <c r="K41" s="18">
        <f t="shared" si="9"/>
        <v>0</v>
      </c>
      <c r="L41" s="18">
        <f t="shared" si="10"/>
        <v>0</v>
      </c>
      <c r="M41" s="18">
        <f t="shared" si="11"/>
        <v>0</v>
      </c>
      <c r="N41" s="2"/>
    </row>
    <row r="42" spans="2:14">
      <c r="B42" s="2"/>
      <c r="C42" s="35" t="s">
        <v>658</v>
      </c>
      <c r="D42" s="36"/>
      <c r="E42" s="51">
        <v>0</v>
      </c>
      <c r="F42" s="18">
        <f>0</f>
        <v>0</v>
      </c>
      <c r="G42" s="18">
        <f t="shared" si="7"/>
        <v>0</v>
      </c>
      <c r="H42" s="51">
        <v>0</v>
      </c>
      <c r="I42" s="18">
        <f>0</f>
        <v>0</v>
      </c>
      <c r="J42" s="18">
        <f t="shared" si="8"/>
        <v>0</v>
      </c>
      <c r="K42" s="18">
        <f t="shared" si="9"/>
        <v>0</v>
      </c>
      <c r="L42" s="18">
        <f t="shared" si="10"/>
        <v>0</v>
      </c>
      <c r="M42" s="18">
        <f t="shared" si="11"/>
        <v>0</v>
      </c>
      <c r="N42" s="2"/>
    </row>
    <row r="43" spans="2:14">
      <c r="B43" s="2"/>
      <c r="C43" s="35" t="s">
        <v>659</v>
      </c>
      <c r="D43" s="36"/>
      <c r="E43" s="51">
        <v>0</v>
      </c>
      <c r="F43" s="18">
        <f>0</f>
        <v>0</v>
      </c>
      <c r="G43" s="18">
        <f t="shared" si="7"/>
        <v>0</v>
      </c>
      <c r="H43" s="51">
        <v>0</v>
      </c>
      <c r="I43" s="18">
        <f>0</f>
        <v>0</v>
      </c>
      <c r="J43" s="18">
        <f t="shared" si="8"/>
        <v>0</v>
      </c>
      <c r="K43" s="18">
        <f t="shared" si="9"/>
        <v>0</v>
      </c>
      <c r="L43" s="18">
        <f t="shared" si="10"/>
        <v>0</v>
      </c>
      <c r="M43" s="18">
        <f t="shared" si="11"/>
        <v>0</v>
      </c>
      <c r="N43" s="2"/>
    </row>
    <row r="44" spans="2:14">
      <c r="B44" s="2"/>
      <c r="C44" s="35" t="s">
        <v>661</v>
      </c>
      <c r="D44" s="36"/>
      <c r="E44" s="51">
        <v>0</v>
      </c>
      <c r="F44" s="18">
        <f>0</f>
        <v>0</v>
      </c>
      <c r="G44" s="18">
        <f t="shared" si="7"/>
        <v>0</v>
      </c>
      <c r="H44" s="51">
        <v>0</v>
      </c>
      <c r="I44" s="18">
        <f>0</f>
        <v>0</v>
      </c>
      <c r="J44" s="18">
        <f t="shared" si="8"/>
        <v>0</v>
      </c>
      <c r="K44" s="18">
        <f t="shared" si="9"/>
        <v>0</v>
      </c>
      <c r="L44" s="18">
        <f t="shared" si="10"/>
        <v>0</v>
      </c>
      <c r="M44" s="18">
        <f t="shared" si="11"/>
        <v>0</v>
      </c>
      <c r="N44" s="2"/>
    </row>
    <row r="45" spans="2:14">
      <c r="B45" s="2"/>
      <c r="C45" s="35" t="s">
        <v>662</v>
      </c>
      <c r="D45" s="36"/>
      <c r="E45" s="51">
        <v>0</v>
      </c>
      <c r="F45" s="51">
        <v>0</v>
      </c>
      <c r="G45" s="18">
        <f t="shared" si="7"/>
        <v>0</v>
      </c>
      <c r="H45" s="51">
        <v>0</v>
      </c>
      <c r="I45" s="51">
        <v>0</v>
      </c>
      <c r="J45" s="18">
        <f t="shared" si="8"/>
        <v>0</v>
      </c>
      <c r="K45" s="18">
        <f t="shared" si="9"/>
        <v>0</v>
      </c>
      <c r="L45" s="18">
        <f t="shared" si="10"/>
        <v>0</v>
      </c>
      <c r="M45" s="18">
        <f t="shared" si="11"/>
        <v>0</v>
      </c>
      <c r="N45" s="2"/>
    </row>
    <row r="46" spans="2:14">
      <c r="B46" s="2"/>
      <c r="C46" s="35" t="s">
        <v>700</v>
      </c>
      <c r="D46" s="36"/>
      <c r="E46" s="51">
        <v>0</v>
      </c>
      <c r="F46" s="18">
        <f>0</f>
        <v>0</v>
      </c>
      <c r="G46" s="18">
        <f t="shared" si="7"/>
        <v>0</v>
      </c>
      <c r="H46" s="51">
        <v>0</v>
      </c>
      <c r="I46" s="18">
        <f>0</f>
        <v>0</v>
      </c>
      <c r="J46" s="18">
        <f t="shared" si="8"/>
        <v>0</v>
      </c>
      <c r="K46" s="18">
        <f t="shared" si="9"/>
        <v>0</v>
      </c>
      <c r="L46" s="18">
        <f t="shared" si="10"/>
        <v>0</v>
      </c>
      <c r="M46" s="18">
        <f t="shared" si="11"/>
        <v>0</v>
      </c>
      <c r="N46" s="2"/>
    </row>
    <row r="47" spans="2:14">
      <c r="B47" s="2"/>
      <c r="C47" s="35" t="s">
        <v>701</v>
      </c>
      <c r="D47" s="36"/>
      <c r="E47" s="51">
        <v>0</v>
      </c>
      <c r="F47" s="18">
        <f>0</f>
        <v>0</v>
      </c>
      <c r="G47" s="18">
        <f t="shared" si="7"/>
        <v>0</v>
      </c>
      <c r="H47" s="51">
        <v>0</v>
      </c>
      <c r="I47" s="18">
        <f>0</f>
        <v>0</v>
      </c>
      <c r="J47" s="18">
        <f t="shared" si="8"/>
        <v>0</v>
      </c>
      <c r="K47" s="18">
        <f t="shared" si="9"/>
        <v>0</v>
      </c>
      <c r="L47" s="18">
        <f t="shared" si="10"/>
        <v>0</v>
      </c>
      <c r="M47" s="18">
        <f t="shared" si="11"/>
        <v>0</v>
      </c>
      <c r="N47" s="2"/>
    </row>
    <row r="48" spans="2:14">
      <c r="B48" s="2"/>
      <c r="C48" s="35" t="s">
        <v>660</v>
      </c>
      <c r="D48" s="36"/>
      <c r="E48" s="51">
        <v>0</v>
      </c>
      <c r="F48" s="18">
        <f>0</f>
        <v>0</v>
      </c>
      <c r="G48" s="18">
        <f t="shared" si="7"/>
        <v>0</v>
      </c>
      <c r="H48" s="51">
        <v>0</v>
      </c>
      <c r="I48" s="18">
        <f>0</f>
        <v>0</v>
      </c>
      <c r="J48" s="18">
        <f t="shared" si="8"/>
        <v>0</v>
      </c>
      <c r="K48" s="18">
        <f t="shared" si="9"/>
        <v>0</v>
      </c>
      <c r="L48" s="18">
        <f t="shared" si="10"/>
        <v>0</v>
      </c>
      <c r="M48" s="18">
        <f t="shared" si="11"/>
        <v>0</v>
      </c>
      <c r="N48" s="2"/>
    </row>
    <row r="49" spans="2:14">
      <c r="B49" s="2"/>
      <c r="C49" s="35" t="s">
        <v>663</v>
      </c>
      <c r="D49" s="36"/>
      <c r="E49" s="51">
        <v>0</v>
      </c>
      <c r="F49" s="18">
        <f>0</f>
        <v>0</v>
      </c>
      <c r="G49" s="18">
        <f t="shared" si="7"/>
        <v>0</v>
      </c>
      <c r="H49" s="51">
        <v>0</v>
      </c>
      <c r="I49" s="18">
        <f>0</f>
        <v>0</v>
      </c>
      <c r="J49" s="18">
        <f t="shared" si="8"/>
        <v>0</v>
      </c>
      <c r="K49" s="18">
        <f t="shared" si="9"/>
        <v>0</v>
      </c>
      <c r="L49" s="18">
        <f t="shared" si="10"/>
        <v>0</v>
      </c>
      <c r="M49" s="18">
        <f t="shared" si="11"/>
        <v>0</v>
      </c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5.0999999999999996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sheetProtection sheet="1" formatColumns="0" formatRows="0" selectLockedCells="1"/>
  <mergeCells count="120">
    <mergeCell ref="C7:M7"/>
    <mergeCell ref="C9:M9"/>
    <mergeCell ref="C10:M10"/>
    <mergeCell ref="C11:M11"/>
    <mergeCell ref="C13:M13"/>
    <mergeCell ref="L15"/>
    <mergeCell ref="K14:M14"/>
    <mergeCell ref="M15"/>
    <mergeCell ref="C16:D16"/>
    <mergeCell ref="C17:D17"/>
    <mergeCell ref="E17"/>
    <mergeCell ref="H17"/>
    <mergeCell ref="H15"/>
    <mergeCell ref="I15"/>
    <mergeCell ref="J15"/>
    <mergeCell ref="H14:J14"/>
    <mergeCell ref="K15"/>
    <mergeCell ref="C14:D15"/>
    <mergeCell ref="E15"/>
    <mergeCell ref="F15"/>
    <mergeCell ref="G15"/>
    <mergeCell ref="E14:G14"/>
    <mergeCell ref="C20:D20"/>
    <mergeCell ref="E20"/>
    <mergeCell ref="H20"/>
    <mergeCell ref="C21:D21"/>
    <mergeCell ref="E21"/>
    <mergeCell ref="H21"/>
    <mergeCell ref="C18:D18"/>
    <mergeCell ref="E18"/>
    <mergeCell ref="H18"/>
    <mergeCell ref="C19:D19"/>
    <mergeCell ref="E19"/>
    <mergeCell ref="H19"/>
    <mergeCell ref="C24:D24"/>
    <mergeCell ref="E24"/>
    <mergeCell ref="H24"/>
    <mergeCell ref="C25:D25"/>
    <mergeCell ref="E25"/>
    <mergeCell ref="H25"/>
    <mergeCell ref="C22:D22"/>
    <mergeCell ref="E22"/>
    <mergeCell ref="H22"/>
    <mergeCell ref="C23:D23"/>
    <mergeCell ref="E23"/>
    <mergeCell ref="H23"/>
    <mergeCell ref="I27"/>
    <mergeCell ref="C28:D28"/>
    <mergeCell ref="E28"/>
    <mergeCell ref="H28"/>
    <mergeCell ref="C29:D29"/>
    <mergeCell ref="E29"/>
    <mergeCell ref="H29"/>
    <mergeCell ref="C26:D26"/>
    <mergeCell ref="E26"/>
    <mergeCell ref="H26"/>
    <mergeCell ref="C27:D27"/>
    <mergeCell ref="E27"/>
    <mergeCell ref="F27"/>
    <mergeCell ref="H27"/>
    <mergeCell ref="C32:D32"/>
    <mergeCell ref="E32"/>
    <mergeCell ref="H32"/>
    <mergeCell ref="C33:D33"/>
    <mergeCell ref="C34:D34"/>
    <mergeCell ref="E34"/>
    <mergeCell ref="H34"/>
    <mergeCell ref="C30:D30"/>
    <mergeCell ref="E30"/>
    <mergeCell ref="H30"/>
    <mergeCell ref="C31:D31"/>
    <mergeCell ref="E31"/>
    <mergeCell ref="H31"/>
    <mergeCell ref="C37:D37"/>
    <mergeCell ref="E37"/>
    <mergeCell ref="H37"/>
    <mergeCell ref="C38:D38"/>
    <mergeCell ref="E38"/>
    <mergeCell ref="H38"/>
    <mergeCell ref="C35:D35"/>
    <mergeCell ref="E35"/>
    <mergeCell ref="H35"/>
    <mergeCell ref="C36:D36"/>
    <mergeCell ref="E36"/>
    <mergeCell ref="H36"/>
    <mergeCell ref="C41:D41"/>
    <mergeCell ref="E41"/>
    <mergeCell ref="H41"/>
    <mergeCell ref="C42:D42"/>
    <mergeCell ref="E42"/>
    <mergeCell ref="H42"/>
    <mergeCell ref="C39:D39"/>
    <mergeCell ref="E39"/>
    <mergeCell ref="H39"/>
    <mergeCell ref="C40:D40"/>
    <mergeCell ref="E40"/>
    <mergeCell ref="H40"/>
    <mergeCell ref="C45:D45"/>
    <mergeCell ref="E45"/>
    <mergeCell ref="F45"/>
    <mergeCell ref="H45"/>
    <mergeCell ref="I45"/>
    <mergeCell ref="C43:D43"/>
    <mergeCell ref="E43"/>
    <mergeCell ref="H43"/>
    <mergeCell ref="C44:D44"/>
    <mergeCell ref="E44"/>
    <mergeCell ref="H44"/>
    <mergeCell ref="C48:D48"/>
    <mergeCell ref="E48"/>
    <mergeCell ref="H48"/>
    <mergeCell ref="C49:D49"/>
    <mergeCell ref="E49"/>
    <mergeCell ref="H49"/>
    <mergeCell ref="C46:D46"/>
    <mergeCell ref="E46"/>
    <mergeCell ref="H46"/>
    <mergeCell ref="C47:D47"/>
    <mergeCell ref="E47"/>
    <mergeCell ref="H47"/>
  </mergeCells>
  <dataValidations count="68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703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704</v>
      </c>
      <c r="D9" s="46"/>
      <c r="E9" s="46"/>
      <c r="F9" s="46"/>
      <c r="G9" s="46"/>
      <c r="H9" s="46"/>
      <c r="I9" s="2"/>
    </row>
    <row r="10" spans="2:9">
      <c r="B10" s="2"/>
      <c r="C10" s="46" t="s">
        <v>705</v>
      </c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/>
      <c r="D13" s="48"/>
      <c r="E13" s="48"/>
      <c r="F13" s="48"/>
      <c r="G13" s="48"/>
      <c r="H13" s="48"/>
      <c r="I13" s="2"/>
    </row>
    <row r="14" spans="2:9">
      <c r="B14" s="2"/>
      <c r="C14" s="40" t="s">
        <v>698</v>
      </c>
      <c r="D14" s="38"/>
      <c r="E14" s="40" t="str">
        <f>"Dana Tabarru"</f>
        <v>Dana Tabarru</v>
      </c>
      <c r="F14" s="54"/>
      <c r="G14" s="54"/>
      <c r="H14" s="38"/>
      <c r="I14" s="2"/>
    </row>
    <row r="15" spans="2:9">
      <c r="B15" s="2"/>
      <c r="C15" s="41"/>
      <c r="D15" s="42"/>
      <c r="E15" s="43" t="str">
        <f>"Penyisihan Klaim Dalam Proses"</f>
        <v>Penyisihan Klaim Dalam Proses</v>
      </c>
      <c r="F15" s="43" t="str">
        <f>"Penyisihan Klaim IBNR"</f>
        <v>Penyisihan Klaim IBNR</v>
      </c>
      <c r="G15" s="43" t="str">
        <f>"Penyisihan Klaim Pembayaran Berkala"</f>
        <v>Penyisihan Klaim Pembayaran Berkala</v>
      </c>
      <c r="H15" s="43" t="str">
        <f>"Jumlah Penyisihan Klaim"</f>
        <v>Jumlah Penyisihan Klaim</v>
      </c>
      <c r="I15" s="2"/>
    </row>
    <row r="16" spans="2:9">
      <c r="B16" s="2"/>
      <c r="C16" s="37" t="s">
        <v>650</v>
      </c>
      <c r="D16" s="38"/>
      <c r="E16" s="39">
        <v>0</v>
      </c>
      <c r="F16" s="39">
        <v>0</v>
      </c>
      <c r="G16" s="39">
        <v>0</v>
      </c>
      <c r="H16" s="21">
        <f t="shared" ref="H16:H31" si="0">SUM(E16:G16)</f>
        <v>0</v>
      </c>
      <c r="I16" s="2"/>
    </row>
    <row r="17" spans="2:9">
      <c r="B17" s="2"/>
      <c r="C17" s="37" t="s">
        <v>651</v>
      </c>
      <c r="D17" s="38"/>
      <c r="E17" s="39">
        <v>0</v>
      </c>
      <c r="F17" s="39">
        <v>0</v>
      </c>
      <c r="G17" s="39">
        <v>0</v>
      </c>
      <c r="H17" s="21">
        <f t="shared" si="0"/>
        <v>0</v>
      </c>
      <c r="I17" s="2"/>
    </row>
    <row r="18" spans="2:9">
      <c r="B18" s="2"/>
      <c r="C18" s="37" t="s">
        <v>652</v>
      </c>
      <c r="D18" s="38"/>
      <c r="E18" s="39">
        <v>0</v>
      </c>
      <c r="F18" s="39">
        <v>0</v>
      </c>
      <c r="G18" s="39">
        <v>0</v>
      </c>
      <c r="H18" s="21">
        <f t="shared" si="0"/>
        <v>0</v>
      </c>
      <c r="I18" s="2"/>
    </row>
    <row r="19" spans="2:9">
      <c r="B19" s="2"/>
      <c r="C19" s="37" t="s">
        <v>653</v>
      </c>
      <c r="D19" s="38"/>
      <c r="E19" s="39">
        <v>0</v>
      </c>
      <c r="F19" s="39">
        <v>0</v>
      </c>
      <c r="G19" s="39">
        <v>0</v>
      </c>
      <c r="H19" s="21">
        <f t="shared" si="0"/>
        <v>0</v>
      </c>
      <c r="I19" s="2"/>
    </row>
    <row r="20" spans="2:9">
      <c r="B20" s="2"/>
      <c r="C20" s="37" t="s">
        <v>654</v>
      </c>
      <c r="D20" s="38"/>
      <c r="E20" s="39">
        <v>0</v>
      </c>
      <c r="F20" s="39">
        <v>0</v>
      </c>
      <c r="G20" s="39">
        <v>0</v>
      </c>
      <c r="H20" s="21">
        <f t="shared" si="0"/>
        <v>0</v>
      </c>
      <c r="I20" s="2"/>
    </row>
    <row r="21" spans="2:9">
      <c r="B21" s="2"/>
      <c r="C21" s="37" t="s">
        <v>655</v>
      </c>
      <c r="D21" s="38"/>
      <c r="E21" s="39">
        <v>0</v>
      </c>
      <c r="F21" s="39">
        <v>0</v>
      </c>
      <c r="G21" s="39">
        <v>0</v>
      </c>
      <c r="H21" s="21">
        <f t="shared" si="0"/>
        <v>0</v>
      </c>
      <c r="I21" s="2"/>
    </row>
    <row r="22" spans="2:9">
      <c r="B22" s="2"/>
      <c r="C22" s="37" t="s">
        <v>656</v>
      </c>
      <c r="D22" s="38"/>
      <c r="E22" s="39">
        <v>0</v>
      </c>
      <c r="F22" s="39">
        <v>0</v>
      </c>
      <c r="G22" s="39">
        <v>0</v>
      </c>
      <c r="H22" s="21">
        <f t="shared" si="0"/>
        <v>0</v>
      </c>
      <c r="I22" s="2"/>
    </row>
    <row r="23" spans="2:9">
      <c r="B23" s="2"/>
      <c r="C23" s="37" t="s">
        <v>657</v>
      </c>
      <c r="D23" s="38"/>
      <c r="E23" s="39">
        <v>0</v>
      </c>
      <c r="F23" s="39">
        <v>0</v>
      </c>
      <c r="G23" s="39">
        <v>0</v>
      </c>
      <c r="H23" s="21">
        <f t="shared" si="0"/>
        <v>0</v>
      </c>
      <c r="I23" s="2"/>
    </row>
    <row r="24" spans="2:9">
      <c r="B24" s="2"/>
      <c r="C24" s="37" t="s">
        <v>658</v>
      </c>
      <c r="D24" s="38"/>
      <c r="E24" s="39">
        <v>0</v>
      </c>
      <c r="F24" s="39">
        <v>0</v>
      </c>
      <c r="G24" s="39">
        <v>0</v>
      </c>
      <c r="H24" s="21">
        <f t="shared" si="0"/>
        <v>0</v>
      </c>
      <c r="I24" s="2"/>
    </row>
    <row r="25" spans="2:9">
      <c r="B25" s="2"/>
      <c r="C25" s="37" t="s">
        <v>659</v>
      </c>
      <c r="D25" s="38"/>
      <c r="E25" s="39">
        <v>0</v>
      </c>
      <c r="F25" s="39">
        <v>0</v>
      </c>
      <c r="G25" s="39">
        <v>0</v>
      </c>
      <c r="H25" s="21">
        <f t="shared" si="0"/>
        <v>0</v>
      </c>
      <c r="I25" s="2"/>
    </row>
    <row r="26" spans="2:9">
      <c r="B26" s="2"/>
      <c r="C26" s="37" t="s">
        <v>700</v>
      </c>
      <c r="D26" s="38"/>
      <c r="E26" s="39">
        <v>0</v>
      </c>
      <c r="F26" s="39">
        <v>0</v>
      </c>
      <c r="G26" s="39">
        <v>0</v>
      </c>
      <c r="H26" s="21">
        <f t="shared" si="0"/>
        <v>0</v>
      </c>
      <c r="I26" s="2"/>
    </row>
    <row r="27" spans="2:9">
      <c r="B27" s="2"/>
      <c r="C27" s="37" t="s">
        <v>701</v>
      </c>
      <c r="D27" s="38"/>
      <c r="E27" s="39">
        <v>0</v>
      </c>
      <c r="F27" s="39">
        <v>0</v>
      </c>
      <c r="G27" s="39">
        <v>0</v>
      </c>
      <c r="H27" s="21">
        <f t="shared" si="0"/>
        <v>0</v>
      </c>
      <c r="I27" s="2"/>
    </row>
    <row r="28" spans="2:9">
      <c r="B28" s="2"/>
      <c r="C28" s="37" t="s">
        <v>660</v>
      </c>
      <c r="D28" s="38"/>
      <c r="E28" s="39">
        <v>0</v>
      </c>
      <c r="F28" s="39">
        <v>0</v>
      </c>
      <c r="G28" s="39">
        <v>0</v>
      </c>
      <c r="H28" s="21">
        <f t="shared" si="0"/>
        <v>0</v>
      </c>
      <c r="I28" s="2"/>
    </row>
    <row r="29" spans="2:9">
      <c r="B29" s="2"/>
      <c r="C29" s="37" t="s">
        <v>661</v>
      </c>
      <c r="D29" s="38"/>
      <c r="E29" s="39">
        <v>0</v>
      </c>
      <c r="F29" s="39">
        <v>0</v>
      </c>
      <c r="G29" s="39">
        <v>0</v>
      </c>
      <c r="H29" s="21">
        <f t="shared" si="0"/>
        <v>0</v>
      </c>
      <c r="I29" s="2"/>
    </row>
    <row r="30" spans="2:9">
      <c r="B30" s="2"/>
      <c r="C30" s="37" t="s">
        <v>662</v>
      </c>
      <c r="D30" s="38"/>
      <c r="E30" s="39">
        <v>0</v>
      </c>
      <c r="F30" s="39">
        <v>0</v>
      </c>
      <c r="G30" s="39">
        <v>0</v>
      </c>
      <c r="H30" s="21">
        <f t="shared" si="0"/>
        <v>0</v>
      </c>
      <c r="I30" s="2"/>
    </row>
    <row r="31" spans="2:9">
      <c r="B31" s="2"/>
      <c r="C31" s="37" t="s">
        <v>663</v>
      </c>
      <c r="D31" s="38"/>
      <c r="E31" s="39">
        <v>0</v>
      </c>
      <c r="F31" s="39">
        <v>0</v>
      </c>
      <c r="G31" s="39">
        <v>0</v>
      </c>
      <c r="H31" s="21">
        <f t="shared" si="0"/>
        <v>0</v>
      </c>
      <c r="I31" s="2"/>
    </row>
    <row r="32" spans="2:9">
      <c r="B32" s="2"/>
      <c r="C32" s="37" t="s">
        <v>233</v>
      </c>
      <c r="D32" s="38"/>
      <c r="E32" s="21">
        <f>SUM(E16:E31)</f>
        <v>0</v>
      </c>
      <c r="F32" s="21">
        <f>SUM(F16:F31)</f>
        <v>0</v>
      </c>
      <c r="G32" s="21">
        <f>SUM(G16:G31)</f>
        <v>0</v>
      </c>
      <c r="H32" s="21">
        <f>SUM(H16:H31)</f>
        <v>0</v>
      </c>
      <c r="I32" s="2"/>
    </row>
    <row r="33" spans="2:9">
      <c r="B33" s="2"/>
      <c r="C33" s="2"/>
      <c r="D33" s="2"/>
      <c r="E33" s="2"/>
      <c r="F33" s="2"/>
      <c r="G33" s="2"/>
      <c r="H33" s="2"/>
      <c r="I33" s="2"/>
    </row>
    <row r="34" spans="2:9" ht="5.0999999999999996" customHeight="1">
      <c r="B34" s="2"/>
      <c r="C34" s="2"/>
      <c r="D34" s="2"/>
      <c r="E34" s="2"/>
      <c r="F34" s="2"/>
      <c r="G34" s="2"/>
      <c r="H34" s="2"/>
      <c r="I34" s="2"/>
    </row>
  </sheetData>
  <sheetProtection sheet="1" formatColumns="0" formatRows="0" selectLockedCells="1"/>
  <mergeCells count="76">
    <mergeCell ref="C7:H7"/>
    <mergeCell ref="C9:H9"/>
    <mergeCell ref="C10:H10"/>
    <mergeCell ref="C11:H11"/>
    <mergeCell ref="C13:H13"/>
    <mergeCell ref="C14:D15"/>
    <mergeCell ref="E15"/>
    <mergeCell ref="F15"/>
    <mergeCell ref="G15"/>
    <mergeCell ref="E14:H14"/>
    <mergeCell ref="H15"/>
    <mergeCell ref="C16:D16"/>
    <mergeCell ref="E16"/>
    <mergeCell ref="F16"/>
    <mergeCell ref="G16"/>
    <mergeCell ref="C17:D17"/>
    <mergeCell ref="E17"/>
    <mergeCell ref="F17"/>
    <mergeCell ref="G17"/>
    <mergeCell ref="C18:D18"/>
    <mergeCell ref="E18"/>
    <mergeCell ref="F18"/>
    <mergeCell ref="G18"/>
    <mergeCell ref="C19:D19"/>
    <mergeCell ref="E19"/>
    <mergeCell ref="F19"/>
    <mergeCell ref="G19"/>
    <mergeCell ref="C20:D20"/>
    <mergeCell ref="E20"/>
    <mergeCell ref="F20"/>
    <mergeCell ref="G20"/>
    <mergeCell ref="C21:D21"/>
    <mergeCell ref="E21"/>
    <mergeCell ref="F21"/>
    <mergeCell ref="G21"/>
    <mergeCell ref="C22:D22"/>
    <mergeCell ref="E22"/>
    <mergeCell ref="F22"/>
    <mergeCell ref="G22"/>
    <mergeCell ref="C23:D23"/>
    <mergeCell ref="E23"/>
    <mergeCell ref="F23"/>
    <mergeCell ref="G23"/>
    <mergeCell ref="C24:D24"/>
    <mergeCell ref="E24"/>
    <mergeCell ref="F24"/>
    <mergeCell ref="G24"/>
    <mergeCell ref="C25:D25"/>
    <mergeCell ref="E25"/>
    <mergeCell ref="F25"/>
    <mergeCell ref="G25"/>
    <mergeCell ref="C26:D26"/>
    <mergeCell ref="E26"/>
    <mergeCell ref="F26"/>
    <mergeCell ref="G26"/>
    <mergeCell ref="C27:D27"/>
    <mergeCell ref="E27"/>
    <mergeCell ref="F27"/>
    <mergeCell ref="G27"/>
    <mergeCell ref="C28:D28"/>
    <mergeCell ref="E28"/>
    <mergeCell ref="F28"/>
    <mergeCell ref="G28"/>
    <mergeCell ref="C29:D29"/>
    <mergeCell ref="E29"/>
    <mergeCell ref="F29"/>
    <mergeCell ref="G29"/>
    <mergeCell ref="C32:D32"/>
    <mergeCell ref="C30:D30"/>
    <mergeCell ref="E30"/>
    <mergeCell ref="F30"/>
    <mergeCell ref="G30"/>
    <mergeCell ref="C31:D31"/>
    <mergeCell ref="E31"/>
    <mergeCell ref="F31"/>
    <mergeCell ref="G31"/>
  </mergeCells>
  <dataValidations count="48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>
      <c r="B2" s="9" t="s">
        <v>706</v>
      </c>
      <c r="C2" s="2"/>
      <c r="D2" s="2"/>
      <c r="E2" s="2"/>
      <c r="F2" s="2"/>
      <c r="G2" s="2"/>
    </row>
    <row r="3" spans="2:7" hidden="1">
      <c r="B3" s="9" t="s">
        <v>8</v>
      </c>
      <c r="C3" s="2"/>
      <c r="D3" s="2"/>
      <c r="E3" s="2"/>
      <c r="F3" s="2"/>
      <c r="G3" s="2"/>
    </row>
    <row r="4" spans="2:7" hidden="1">
      <c r="B4" s="2"/>
      <c r="C4" s="2"/>
      <c r="D4" s="2"/>
      <c r="E4" s="2"/>
      <c r="F4" s="2"/>
      <c r="G4" s="2"/>
    </row>
    <row r="5" spans="2:7" hidden="1">
      <c r="B5" s="2"/>
      <c r="C5" s="2"/>
      <c r="D5" s="2"/>
      <c r="E5" s="2"/>
      <c r="F5" s="2"/>
      <c r="G5" s="2"/>
    </row>
    <row r="6" spans="2:7" hidden="1">
      <c r="B6" s="2"/>
      <c r="C6" s="2"/>
      <c r="D6" s="2"/>
      <c r="E6" s="2"/>
      <c r="F6" s="2"/>
      <c r="G6" s="2"/>
    </row>
    <row r="7" spans="2:7" ht="17.25">
      <c r="B7" s="2"/>
      <c r="C7" s="45" t="str">
        <f>UPPER('Data Umum'!D7)</f>
        <v/>
      </c>
      <c r="D7" s="45"/>
      <c r="E7" s="45"/>
      <c r="F7" s="45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46" t="s">
        <v>707</v>
      </c>
      <c r="D9" s="46"/>
      <c r="E9" s="46"/>
      <c r="F9" s="46"/>
      <c r="G9" s="2"/>
    </row>
    <row r="10" spans="2:7">
      <c r="B10" s="2"/>
      <c r="C10" s="46" t="s">
        <v>708</v>
      </c>
      <c r="D10" s="46"/>
      <c r="E10" s="46"/>
      <c r="F10" s="46"/>
      <c r="G10" s="2"/>
    </row>
    <row r="11" spans="2:7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2"/>
    </row>
    <row r="12" spans="2:7" hidden="1">
      <c r="B12" s="2"/>
      <c r="C12" s="2"/>
      <c r="D12" s="2"/>
      <c r="E12" s="2"/>
      <c r="F12" s="2"/>
      <c r="G12" s="2"/>
    </row>
    <row r="13" spans="2:7">
      <c r="B13" s="2"/>
      <c r="C13" s="48"/>
      <c r="D13" s="48"/>
      <c r="E13" s="48"/>
      <c r="F13" s="48"/>
      <c r="G13" s="2"/>
    </row>
    <row r="14" spans="2:7">
      <c r="B14" s="2"/>
      <c r="C14" s="40" t="s">
        <v>698</v>
      </c>
      <c r="D14" s="38"/>
      <c r="E14" s="40" t="str">
        <f>"Dana Tabarru	"</f>
        <v xml:space="preserve">Dana Tabarru	</v>
      </c>
      <c r="F14" s="38"/>
      <c r="G14" s="2"/>
    </row>
    <row r="15" spans="2:7">
      <c r="B15" s="2"/>
      <c r="C15" s="41"/>
      <c r="D15" s="42"/>
      <c r="E15" s="43" t="str">
        <f>"Retensi Sendiri"</f>
        <v>Retensi Sendiri</v>
      </c>
      <c r="F15" s="43" t="str">
        <f>"Reasuransi"</f>
        <v>Reasuransi</v>
      </c>
      <c r="G15" s="2"/>
    </row>
    <row r="16" spans="2:7">
      <c r="B16" s="2"/>
      <c r="C16" s="37" t="s">
        <v>650</v>
      </c>
      <c r="D16" s="38"/>
      <c r="E16" s="51">
        <v>0</v>
      </c>
      <c r="F16" s="51">
        <v>0</v>
      </c>
      <c r="G16" s="2"/>
    </row>
    <row r="17" spans="2:7">
      <c r="B17" s="2"/>
      <c r="C17" s="37" t="s">
        <v>651</v>
      </c>
      <c r="D17" s="38"/>
      <c r="E17" s="51">
        <v>0</v>
      </c>
      <c r="F17" s="51">
        <v>0</v>
      </c>
      <c r="G17" s="2"/>
    </row>
    <row r="18" spans="2:7">
      <c r="B18" s="2"/>
      <c r="C18" s="37" t="s">
        <v>652</v>
      </c>
      <c r="D18" s="38"/>
      <c r="E18" s="51">
        <v>0</v>
      </c>
      <c r="F18" s="51">
        <v>0</v>
      </c>
      <c r="G18" s="2"/>
    </row>
    <row r="19" spans="2:7">
      <c r="B19" s="2"/>
      <c r="C19" s="37" t="s">
        <v>653</v>
      </c>
      <c r="D19" s="38"/>
      <c r="E19" s="51">
        <v>0</v>
      </c>
      <c r="F19" s="51">
        <v>0</v>
      </c>
      <c r="G19" s="2"/>
    </row>
    <row r="20" spans="2:7">
      <c r="B20" s="2"/>
      <c r="C20" s="37" t="s">
        <v>654</v>
      </c>
      <c r="D20" s="38"/>
      <c r="E20" s="51">
        <v>0</v>
      </c>
      <c r="F20" s="51">
        <v>0</v>
      </c>
      <c r="G20" s="2"/>
    </row>
    <row r="21" spans="2:7">
      <c r="B21" s="2"/>
      <c r="C21" s="37" t="s">
        <v>655</v>
      </c>
      <c r="D21" s="38"/>
      <c r="E21" s="51">
        <v>0</v>
      </c>
      <c r="F21" s="51">
        <v>0</v>
      </c>
      <c r="G21" s="2"/>
    </row>
    <row r="22" spans="2:7">
      <c r="B22" s="2"/>
      <c r="C22" s="37" t="s">
        <v>656</v>
      </c>
      <c r="D22" s="38"/>
      <c r="E22" s="51">
        <v>0</v>
      </c>
      <c r="F22" s="51">
        <v>0</v>
      </c>
      <c r="G22" s="2"/>
    </row>
    <row r="23" spans="2:7">
      <c r="B23" s="2"/>
      <c r="C23" s="37" t="s">
        <v>657</v>
      </c>
      <c r="D23" s="38"/>
      <c r="E23" s="51">
        <v>0</v>
      </c>
      <c r="F23" s="51">
        <v>0</v>
      </c>
      <c r="G23" s="2"/>
    </row>
    <row r="24" spans="2:7">
      <c r="B24" s="2"/>
      <c r="C24" s="37" t="s">
        <v>658</v>
      </c>
      <c r="D24" s="38"/>
      <c r="E24" s="51">
        <v>0</v>
      </c>
      <c r="F24" s="51">
        <v>0</v>
      </c>
      <c r="G24" s="2"/>
    </row>
    <row r="25" spans="2:7">
      <c r="B25" s="2"/>
      <c r="C25" s="37" t="s">
        <v>659</v>
      </c>
      <c r="D25" s="38"/>
      <c r="E25" s="51">
        <v>0</v>
      </c>
      <c r="F25" s="51">
        <v>0</v>
      </c>
      <c r="G25" s="2"/>
    </row>
    <row r="26" spans="2:7">
      <c r="B26" s="2"/>
      <c r="C26" s="37" t="s">
        <v>662</v>
      </c>
      <c r="D26" s="38"/>
      <c r="E26" s="51">
        <v>0</v>
      </c>
      <c r="F26" s="51">
        <v>0</v>
      </c>
      <c r="G26" s="2"/>
    </row>
    <row r="27" spans="2:7">
      <c r="B27" s="2"/>
      <c r="C27" s="37" t="s">
        <v>661</v>
      </c>
      <c r="D27" s="38"/>
      <c r="E27" s="51">
        <v>0</v>
      </c>
      <c r="F27" s="51">
        <v>0</v>
      </c>
      <c r="G27" s="2"/>
    </row>
    <row r="28" spans="2:7">
      <c r="B28" s="2"/>
      <c r="C28" s="37" t="s">
        <v>700</v>
      </c>
      <c r="D28" s="38"/>
      <c r="E28" s="51">
        <v>0</v>
      </c>
      <c r="F28" s="51">
        <v>0</v>
      </c>
      <c r="G28" s="2"/>
    </row>
    <row r="29" spans="2:7">
      <c r="B29" s="2"/>
      <c r="C29" s="37" t="s">
        <v>701</v>
      </c>
      <c r="D29" s="38"/>
      <c r="E29" s="51">
        <v>0</v>
      </c>
      <c r="F29" s="51">
        <v>0</v>
      </c>
      <c r="G29" s="2"/>
    </row>
    <row r="30" spans="2:7">
      <c r="B30" s="2"/>
      <c r="C30" s="37" t="s">
        <v>660</v>
      </c>
      <c r="D30" s="38"/>
      <c r="E30" s="51">
        <v>0</v>
      </c>
      <c r="F30" s="51">
        <v>0</v>
      </c>
      <c r="G30" s="2"/>
    </row>
    <row r="31" spans="2:7">
      <c r="B31" s="2"/>
      <c r="C31" s="37" t="s">
        <v>663</v>
      </c>
      <c r="D31" s="38"/>
      <c r="E31" s="51">
        <v>0</v>
      </c>
      <c r="F31" s="51">
        <v>0</v>
      </c>
      <c r="G31" s="2"/>
    </row>
    <row r="32" spans="2:7">
      <c r="B32" s="2"/>
      <c r="C32" s="37" t="s">
        <v>233</v>
      </c>
      <c r="D32" s="38"/>
      <c r="E32" s="18">
        <f>SUM(E16:E31)</f>
        <v>0</v>
      </c>
      <c r="F32" s="18">
        <f>SUM(F16:F31)</f>
        <v>0</v>
      </c>
      <c r="G32" s="2"/>
    </row>
    <row r="33" spans="2:7">
      <c r="B33" s="2"/>
      <c r="C33" s="2"/>
      <c r="D33" s="2"/>
      <c r="E33" s="2"/>
      <c r="F33" s="2"/>
      <c r="G33" s="2"/>
    </row>
    <row r="34" spans="2:7" ht="5.0999999999999996" customHeight="1">
      <c r="B34" s="2"/>
      <c r="C34" s="2"/>
      <c r="D34" s="2"/>
      <c r="E34" s="2"/>
      <c r="F34" s="2"/>
      <c r="G34" s="2"/>
    </row>
  </sheetData>
  <sheetProtection sheet="1" formatColumns="0" formatRows="0" selectLockedCells="1"/>
  <mergeCells count="58">
    <mergeCell ref="C7:F7"/>
    <mergeCell ref="C9:F9"/>
    <mergeCell ref="C10:F10"/>
    <mergeCell ref="C11:F11"/>
    <mergeCell ref="C13:F13"/>
    <mergeCell ref="C14:D15"/>
    <mergeCell ref="E15"/>
    <mergeCell ref="E14:F14"/>
    <mergeCell ref="F15"/>
    <mergeCell ref="C16:D16"/>
    <mergeCell ref="E16"/>
    <mergeCell ref="F16"/>
    <mergeCell ref="C17:D17"/>
    <mergeCell ref="E17"/>
    <mergeCell ref="F17"/>
    <mergeCell ref="C18:D18"/>
    <mergeCell ref="E18"/>
    <mergeCell ref="F18"/>
    <mergeCell ref="C19:D19"/>
    <mergeCell ref="E19"/>
    <mergeCell ref="F19"/>
    <mergeCell ref="C20:D20"/>
    <mergeCell ref="E20"/>
    <mergeCell ref="F20"/>
    <mergeCell ref="C21:D21"/>
    <mergeCell ref="E21"/>
    <mergeCell ref="F21"/>
    <mergeCell ref="C22:D22"/>
    <mergeCell ref="E22"/>
    <mergeCell ref="F22"/>
    <mergeCell ref="C23:D23"/>
    <mergeCell ref="E23"/>
    <mergeCell ref="F23"/>
    <mergeCell ref="C24:D24"/>
    <mergeCell ref="E24"/>
    <mergeCell ref="F24"/>
    <mergeCell ref="C25:D25"/>
    <mergeCell ref="E25"/>
    <mergeCell ref="F25"/>
    <mergeCell ref="C26:D26"/>
    <mergeCell ref="E26"/>
    <mergeCell ref="F26"/>
    <mergeCell ref="C27:D27"/>
    <mergeCell ref="E27"/>
    <mergeCell ref="F27"/>
    <mergeCell ref="C28:D28"/>
    <mergeCell ref="E28"/>
    <mergeCell ref="F28"/>
    <mergeCell ref="C31:D31"/>
    <mergeCell ref="E31"/>
    <mergeCell ref="F31"/>
    <mergeCell ref="C32:D32"/>
    <mergeCell ref="C29:D29"/>
    <mergeCell ref="E29"/>
    <mergeCell ref="F29"/>
    <mergeCell ref="C30:D30"/>
    <mergeCell ref="E30"/>
    <mergeCell ref="F30"/>
  </mergeCells>
  <dataValidations count="32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13" width="30" style="1" customWidth="1"/>
    <col min="14" max="14" width="1" style="1" customWidth="1"/>
    <col min="15" max="15" width="9.140625" style="1" customWidth="1"/>
    <col min="16" max="16384" width="9.140625" style="1"/>
  </cols>
  <sheetData>
    <row r="2" spans="2:14" ht="5.0999999999999996" customHeight="1">
      <c r="B2" s="9" t="s">
        <v>709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2"/>
      <c r="C9" s="46" t="s">
        <v>710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2"/>
    </row>
    <row r="10" spans="2:14">
      <c r="B10" s="2"/>
      <c r="C10" s="46" t="s">
        <v>711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"/>
    </row>
    <row r="11" spans="2:14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"/>
    </row>
    <row r="12" spans="2:14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>
      <c r="B13" s="2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2"/>
    </row>
    <row r="14" spans="2:14">
      <c r="B14" s="2"/>
      <c r="C14" s="40" t="s">
        <v>712</v>
      </c>
      <c r="D14" s="38"/>
      <c r="E14" s="40" t="str">
        <f>"Aset"</f>
        <v>Aset</v>
      </c>
      <c r="F14" s="54"/>
      <c r="G14" s="38"/>
      <c r="H14" s="40" t="str">
        <f>"Liabilitas"</f>
        <v>Liabilitas</v>
      </c>
      <c r="I14" s="54"/>
      <c r="J14" s="38"/>
      <c r="K14" s="40" t="str">
        <f>"Rasio Aset Terhadap Liabilitas"</f>
        <v>Rasio Aset Terhadap Liabilitas</v>
      </c>
      <c r="L14" s="54"/>
      <c r="M14" s="38"/>
      <c r="N14" s="2"/>
    </row>
    <row r="15" spans="2:14">
      <c r="B15" s="2"/>
      <c r="C15" s="41"/>
      <c r="D15" s="42"/>
      <c r="E15" s="43" t="str">
        <f>"Rupiah"</f>
        <v>Rupiah</v>
      </c>
      <c r="F15" s="43" t="str">
        <f>"Valas"</f>
        <v>Valas</v>
      </c>
      <c r="G15" s="43" t="str">
        <f>"Total"</f>
        <v>Total</v>
      </c>
      <c r="H15" s="43" t="str">
        <f>"Rupiah"</f>
        <v>Rupiah</v>
      </c>
      <c r="I15" s="43" t="str">
        <f>"Valas"</f>
        <v>Valas</v>
      </c>
      <c r="J15" s="43" t="str">
        <f>"Total "</f>
        <v xml:space="preserve">Total </v>
      </c>
      <c r="K15" s="43" t="str">
        <f>"Rupiah"</f>
        <v>Rupiah</v>
      </c>
      <c r="L15" s="43" t="str">
        <f>"Valas"</f>
        <v>Valas</v>
      </c>
      <c r="M15" s="43" t="str">
        <f>"Total"</f>
        <v>Total</v>
      </c>
      <c r="N15" s="2"/>
    </row>
    <row r="16" spans="2:14">
      <c r="B16" s="2"/>
      <c r="C16" s="37" t="s">
        <v>713</v>
      </c>
      <c r="D16" s="38"/>
      <c r="E16" s="51">
        <v>0</v>
      </c>
      <c r="F16" s="51">
        <v>0</v>
      </c>
      <c r="G16" s="18">
        <f>E16+F16</f>
        <v>0</v>
      </c>
      <c r="H16" s="51">
        <v>0</v>
      </c>
      <c r="I16" s="51">
        <v>0</v>
      </c>
      <c r="J16" s="18">
        <f>H16+I16</f>
        <v>0</v>
      </c>
      <c r="K16" s="18" t="e">
        <f t="shared" ref="K16:M19" si="0">E16/H16</f>
        <v>#DIV/0!</v>
      </c>
      <c r="L16" s="18" t="e">
        <f t="shared" si="0"/>
        <v>#DIV/0!</v>
      </c>
      <c r="M16" s="18" t="e">
        <f t="shared" si="0"/>
        <v>#DIV/0!</v>
      </c>
      <c r="N16" s="2"/>
    </row>
    <row r="17" spans="2:14">
      <c r="B17" s="2"/>
      <c r="C17" s="37" t="s">
        <v>714</v>
      </c>
      <c r="D17" s="38"/>
      <c r="E17" s="51">
        <v>0</v>
      </c>
      <c r="F17" s="51">
        <v>0</v>
      </c>
      <c r="G17" s="18">
        <f>E17+F17</f>
        <v>0</v>
      </c>
      <c r="H17" s="51">
        <v>0</v>
      </c>
      <c r="I17" s="51">
        <v>0</v>
      </c>
      <c r="J17" s="18">
        <f>H17+I17</f>
        <v>0</v>
      </c>
      <c r="K17" s="18" t="e">
        <f t="shared" si="0"/>
        <v>#DIV/0!</v>
      </c>
      <c r="L17" s="18" t="e">
        <f t="shared" si="0"/>
        <v>#DIV/0!</v>
      </c>
      <c r="M17" s="18" t="e">
        <f t="shared" si="0"/>
        <v>#DIV/0!</v>
      </c>
      <c r="N17" s="2"/>
    </row>
    <row r="18" spans="2:14">
      <c r="B18" s="2"/>
      <c r="C18" s="37" t="s">
        <v>715</v>
      </c>
      <c r="D18" s="38"/>
      <c r="E18" s="51">
        <v>0</v>
      </c>
      <c r="F18" s="51">
        <v>0</v>
      </c>
      <c r="G18" s="18">
        <f>E18+F18</f>
        <v>0</v>
      </c>
      <c r="H18" s="51">
        <v>0</v>
      </c>
      <c r="I18" s="51">
        <v>0</v>
      </c>
      <c r="J18" s="18">
        <f>H18+I18</f>
        <v>0</v>
      </c>
      <c r="K18" s="18" t="e">
        <f t="shared" si="0"/>
        <v>#DIV/0!</v>
      </c>
      <c r="L18" s="18" t="e">
        <f t="shared" si="0"/>
        <v>#DIV/0!</v>
      </c>
      <c r="M18" s="18" t="e">
        <f t="shared" si="0"/>
        <v>#DIV/0!</v>
      </c>
      <c r="N18" s="2"/>
    </row>
    <row r="19" spans="2:14">
      <c r="B19" s="2"/>
      <c r="C19" s="37" t="s">
        <v>716</v>
      </c>
      <c r="D19" s="38"/>
      <c r="E19" s="51">
        <v>0</v>
      </c>
      <c r="F19" s="51">
        <v>0</v>
      </c>
      <c r="G19" s="18">
        <f>E19+F19</f>
        <v>0</v>
      </c>
      <c r="H19" s="51">
        <v>0</v>
      </c>
      <c r="I19" s="51">
        <v>0</v>
      </c>
      <c r="J19" s="18">
        <f>H19+I19</f>
        <v>0</v>
      </c>
      <c r="K19" s="18" t="e">
        <f t="shared" si="0"/>
        <v>#DIV/0!</v>
      </c>
      <c r="L19" s="18" t="e">
        <f t="shared" si="0"/>
        <v>#DIV/0!</v>
      </c>
      <c r="M19" s="18" t="e">
        <f t="shared" si="0"/>
        <v>#DIV/0!</v>
      </c>
      <c r="N19" s="2"/>
    </row>
    <row r="20" spans="2:14">
      <c r="B20" s="2"/>
      <c r="C20" s="37" t="s">
        <v>233</v>
      </c>
      <c r="D20" s="38"/>
      <c r="E20" s="18">
        <f t="shared" ref="E20:M20" si="1">E16+E17+E18+E19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 t="e">
        <f t="shared" si="1"/>
        <v>#DIV/0!</v>
      </c>
      <c r="L20" s="18" t="e">
        <f t="shared" si="1"/>
        <v>#DIV/0!</v>
      </c>
      <c r="M20" s="18" t="e">
        <f t="shared" si="1"/>
        <v>#DIV/0!</v>
      </c>
      <c r="N20" s="2"/>
    </row>
    <row r="21" spans="2:1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5.0999999999999996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 sheet="1" formatColumns="0" formatRows="0" selectLockedCells="1"/>
  <mergeCells count="39">
    <mergeCell ref="G15"/>
    <mergeCell ref="E14:G14"/>
    <mergeCell ref="C7:M7"/>
    <mergeCell ref="C9:M9"/>
    <mergeCell ref="C10:M10"/>
    <mergeCell ref="C11:M11"/>
    <mergeCell ref="C13:M13"/>
    <mergeCell ref="L15"/>
    <mergeCell ref="K14:M14"/>
    <mergeCell ref="M15"/>
    <mergeCell ref="C16:D16"/>
    <mergeCell ref="E16"/>
    <mergeCell ref="F16"/>
    <mergeCell ref="H16"/>
    <mergeCell ref="I16"/>
    <mergeCell ref="H15"/>
    <mergeCell ref="I15"/>
    <mergeCell ref="J15"/>
    <mergeCell ref="H14:J14"/>
    <mergeCell ref="K15"/>
    <mergeCell ref="C14:D15"/>
    <mergeCell ref="E15"/>
    <mergeCell ref="F15"/>
    <mergeCell ref="C17:D17"/>
    <mergeCell ref="E17"/>
    <mergeCell ref="F17"/>
    <mergeCell ref="H17"/>
    <mergeCell ref="I17"/>
    <mergeCell ref="I19"/>
    <mergeCell ref="C18:D18"/>
    <mergeCell ref="E18"/>
    <mergeCell ref="F18"/>
    <mergeCell ref="H18"/>
    <mergeCell ref="I18"/>
    <mergeCell ref="C20:D20"/>
    <mergeCell ref="C19:D19"/>
    <mergeCell ref="E19"/>
    <mergeCell ref="F19"/>
    <mergeCell ref="H19"/>
  </mergeCells>
  <dataValidations count="1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717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718</v>
      </c>
      <c r="D9" s="46"/>
      <c r="E9" s="46"/>
      <c r="F9" s="46"/>
      <c r="G9" s="46"/>
      <c r="H9" s="2"/>
    </row>
    <row r="10" spans="2:8">
      <c r="B10" s="2"/>
      <c r="C10" s="46" t="s">
        <v>711</v>
      </c>
      <c r="D10" s="46"/>
      <c r="E10" s="46"/>
      <c r="F10" s="46"/>
      <c r="G10" s="46"/>
      <c r="H10" s="2"/>
    </row>
    <row r="11" spans="2: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 t="s">
        <v>719</v>
      </c>
      <c r="D13" s="48"/>
      <c r="E13" s="48"/>
      <c r="F13" s="48"/>
      <c r="G13" s="48"/>
      <c r="H13" s="2"/>
    </row>
    <row r="14" spans="2:8">
      <c r="B14" s="2"/>
      <c r="C14" s="40" t="s">
        <v>236</v>
      </c>
      <c r="D14" s="38"/>
      <c r="E14" s="43" t="str">
        <f>"Rupiah"</f>
        <v>Rupiah</v>
      </c>
      <c r="F14" s="43" t="str">
        <f>"Valas"</f>
        <v>Valas</v>
      </c>
      <c r="G14" s="43" t="str">
        <f>"Total"</f>
        <v>Total</v>
      </c>
      <c r="H14" s="2"/>
    </row>
    <row r="15" spans="2:8">
      <c r="B15" s="2"/>
      <c r="C15" s="41"/>
      <c r="D15" s="42"/>
      <c r="E15" s="44"/>
      <c r="F15" s="44"/>
      <c r="G15" s="44"/>
      <c r="H15" s="2"/>
    </row>
    <row r="16" spans="2:8">
      <c r="B16" s="2"/>
      <c r="C16" s="37" t="s">
        <v>720</v>
      </c>
      <c r="D16" s="38"/>
      <c r="E16" s="52">
        <v>0</v>
      </c>
      <c r="F16" s="52">
        <v>0</v>
      </c>
      <c r="G16" s="52">
        <v>0</v>
      </c>
      <c r="H16" s="2"/>
    </row>
    <row r="17" spans="2:8">
      <c r="B17" s="2"/>
      <c r="C17" s="37" t="s">
        <v>721</v>
      </c>
      <c r="D17" s="38"/>
      <c r="E17" s="52">
        <v>0</v>
      </c>
      <c r="F17" s="52">
        <v>0</v>
      </c>
      <c r="G17" s="52">
        <v>0</v>
      </c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 ht="5.0999999999999996" customHeight="1">
      <c r="B19" s="2"/>
      <c r="C19" s="2"/>
      <c r="D19" s="2"/>
      <c r="E19" s="2"/>
      <c r="F19" s="2"/>
      <c r="G19" s="2"/>
      <c r="H19" s="2"/>
    </row>
  </sheetData>
  <sheetProtection sheet="1" formatColumns="0" formatRows="0" selectLockedCells="1"/>
  <mergeCells count="17">
    <mergeCell ref="C7:G7"/>
    <mergeCell ref="C9:G9"/>
    <mergeCell ref="C10:G10"/>
    <mergeCell ref="C11:G11"/>
    <mergeCell ref="C13:G13"/>
    <mergeCell ref="C17:D17"/>
    <mergeCell ref="E17"/>
    <mergeCell ref="F17"/>
    <mergeCell ref="G17"/>
    <mergeCell ref="C14:D15"/>
    <mergeCell ref="E14:E15"/>
    <mergeCell ref="F14:F15"/>
    <mergeCell ref="G14:G15"/>
    <mergeCell ref="C16:D16"/>
    <mergeCell ref="E16"/>
    <mergeCell ref="F16"/>
    <mergeCell ref="G16"/>
  </mergeCells>
  <dataValidations count="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20" width="30" style="1" customWidth="1"/>
    <col min="21" max="21" width="1" style="1" customWidth="1"/>
    <col min="22" max="22" width="9.140625" style="1" customWidth="1"/>
    <col min="23" max="16384" width="9.140625" style="1"/>
  </cols>
  <sheetData>
    <row r="2" spans="2:21" ht="5.0999999999999996" customHeight="1">
      <c r="B2" s="9" t="s">
        <v>722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2"/>
    </row>
    <row r="8" spans="2:2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>
      <c r="B9" s="2"/>
      <c r="C9" s="46" t="s">
        <v>723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"/>
    </row>
    <row r="10" spans="2:21">
      <c r="B10" s="2"/>
      <c r="C10" s="46" t="s">
        <v>724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2"/>
    </row>
    <row r="11" spans="2:21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2"/>
    </row>
    <row r="12" spans="2:21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>
      <c r="B13" s="2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2"/>
    </row>
    <row r="14" spans="2:21">
      <c r="B14" s="2"/>
      <c r="C14" s="40" t="s">
        <v>126</v>
      </c>
      <c r="D14" s="38"/>
      <c r="E14" s="40" t="str">
        <f>""</f>
        <v/>
      </c>
      <c r="F14" s="54"/>
      <c r="G14" s="38"/>
      <c r="H14" s="40" t="str">
        <f>"Pemasaran"</f>
        <v>Pemasaran</v>
      </c>
      <c r="I14" s="38"/>
      <c r="J14" s="40" t="str">
        <f>""</f>
        <v/>
      </c>
      <c r="K14" s="54"/>
      <c r="L14" s="54"/>
      <c r="M14" s="38"/>
      <c r="N14" s="40" t="str">
        <f>"Kontribusi  Bruto - Tidak Langsung"</f>
        <v>Kontribusi  Bruto - Tidak Langsung</v>
      </c>
      <c r="O14" s="38"/>
      <c r="P14" s="40" t="str">
        <f>""</f>
        <v/>
      </c>
      <c r="Q14" s="54"/>
      <c r="R14" s="54"/>
      <c r="S14" s="54"/>
      <c r="T14" s="38"/>
      <c r="U14" s="2"/>
    </row>
    <row r="15" spans="2:21">
      <c r="B15" s="2"/>
      <c r="C15" s="41"/>
      <c r="D15" s="42"/>
      <c r="E15" s="43" t="str">
        <f>"Lini Usaha"</f>
        <v>Lini Usaha</v>
      </c>
      <c r="F15" s="43" t="str">
        <f>"Lokasi"</f>
        <v>Lokasi</v>
      </c>
      <c r="G15" s="43" t="str">
        <f>"Mata Uang"</f>
        <v>Mata Uang</v>
      </c>
      <c r="H15" s="43" t="str">
        <f>"Saluran Distribusi"</f>
        <v>Saluran Distribusi</v>
      </c>
      <c r="I15" s="43" t="str">
        <f>"Jumlah"</f>
        <v>Jumlah</v>
      </c>
      <c r="J15" s="43" t="str">
        <f>"Jumlah Polis Inforce"</f>
        <v>Jumlah Polis Inforce</v>
      </c>
      <c r="K15" s="43" t="str">
        <f>"Jumlah Peserta"</f>
        <v>Jumlah Peserta</v>
      </c>
      <c r="L15" s="43" t="str">
        <f>"Jumlah Polis Yang klaim"</f>
        <v>Jumlah Polis Yang klaim</v>
      </c>
      <c r="M15" s="43" t="str">
        <f>"Jumlah Peserta Yang Klaim"</f>
        <v>Jumlah Peserta Yang Klaim</v>
      </c>
      <c r="N15" s="43" t="str">
        <f>"Alokasi Untuk Ujrah"</f>
        <v>Alokasi Untuk Ujrah</v>
      </c>
      <c r="O15" s="43" t="str">
        <f>"Alokasi Untuk Tabarru"</f>
        <v>Alokasi Untuk Tabarru</v>
      </c>
      <c r="P15" s="43" t="str">
        <f>"Kontribusi Reasuransi/retrosesi"</f>
        <v>Kontribusi Reasuransi/retrosesi</v>
      </c>
      <c r="Q15" s="43" t="str">
        <f>"Klaim Bruto"</f>
        <v>Klaim Bruto</v>
      </c>
      <c r="R15" s="43" t="str">
        <f>"Klaim Recovery"</f>
        <v>Klaim Recovery</v>
      </c>
      <c r="S15" s="43" t="str">
        <f>"Beban Adjuster"</f>
        <v>Beban Adjuster</v>
      </c>
      <c r="T15" s="43" t="str">
        <f>"Beban Komisi"</f>
        <v>Beban Komisi</v>
      </c>
      <c r="U15" s="2"/>
    </row>
    <row r="16" spans="2:21">
      <c r="B16" s="2"/>
      <c r="C16" s="37" t="s">
        <v>8</v>
      </c>
      <c r="D16" s="38"/>
      <c r="E16" s="51">
        <v>0</v>
      </c>
      <c r="F16" s="51">
        <v>0</v>
      </c>
      <c r="G16" s="39">
        <v>0</v>
      </c>
      <c r="H16" s="51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2"/>
    </row>
    <row r="17" spans="2:21">
      <c r="B17" s="2"/>
      <c r="C17" s="37" t="s">
        <v>127</v>
      </c>
      <c r="D17" s="38"/>
      <c r="E17" s="51">
        <v>0</v>
      </c>
      <c r="F17" s="51">
        <v>0</v>
      </c>
      <c r="G17" s="39">
        <v>0</v>
      </c>
      <c r="H17" s="51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2"/>
    </row>
    <row r="18" spans="2:21">
      <c r="B18" s="2"/>
      <c r="C18" s="37" t="s">
        <v>128</v>
      </c>
      <c r="D18" s="38"/>
      <c r="E18" s="51">
        <v>0</v>
      </c>
      <c r="F18" s="51">
        <v>0</v>
      </c>
      <c r="G18" s="39">
        <v>0</v>
      </c>
      <c r="H18" s="51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2"/>
    </row>
    <row r="19" spans="2:21">
      <c r="B19" s="2"/>
      <c r="C19" s="37" t="s">
        <v>129</v>
      </c>
      <c r="D19" s="38"/>
      <c r="E19" s="51">
        <v>0</v>
      </c>
      <c r="F19" s="51">
        <v>0</v>
      </c>
      <c r="G19" s="39">
        <v>0</v>
      </c>
      <c r="H19" s="51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2"/>
    </row>
    <row r="20" spans="2:21">
      <c r="B20" s="2"/>
      <c r="C20" s="37" t="s">
        <v>130</v>
      </c>
      <c r="D20" s="38"/>
      <c r="E20" s="51">
        <v>0</v>
      </c>
      <c r="F20" s="51">
        <v>0</v>
      </c>
      <c r="G20" s="39">
        <v>0</v>
      </c>
      <c r="H20" s="51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2"/>
    </row>
    <row r="21" spans="2:21">
      <c r="B21" s="2"/>
      <c r="C21" s="37" t="s">
        <v>131</v>
      </c>
      <c r="D21" s="38"/>
      <c r="E21" s="51">
        <v>0</v>
      </c>
      <c r="F21" s="51">
        <v>0</v>
      </c>
      <c r="G21" s="39">
        <v>0</v>
      </c>
      <c r="H21" s="51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2"/>
    </row>
    <row r="22" spans="2:21">
      <c r="B22" s="2"/>
      <c r="C22" s="37" t="s">
        <v>132</v>
      </c>
      <c r="D22" s="38"/>
      <c r="E22" s="51">
        <v>0</v>
      </c>
      <c r="F22" s="51">
        <v>0</v>
      </c>
      <c r="G22" s="39">
        <v>0</v>
      </c>
      <c r="H22" s="51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2"/>
    </row>
    <row r="23" spans="2:21">
      <c r="B23" s="2"/>
      <c r="C23" s="37" t="s">
        <v>133</v>
      </c>
      <c r="D23" s="38"/>
      <c r="E23" s="51">
        <v>0</v>
      </c>
      <c r="F23" s="51">
        <v>0</v>
      </c>
      <c r="G23" s="39">
        <v>0</v>
      </c>
      <c r="H23" s="51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2"/>
    </row>
    <row r="24" spans="2:21">
      <c r="B24" s="2"/>
      <c r="C24" s="37" t="s">
        <v>134</v>
      </c>
      <c r="D24" s="38"/>
      <c r="E24" s="51">
        <v>0</v>
      </c>
      <c r="F24" s="51">
        <v>0</v>
      </c>
      <c r="G24" s="39">
        <v>0</v>
      </c>
      <c r="H24" s="51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2"/>
    </row>
    <row r="25" spans="2:21">
      <c r="B25" s="2"/>
      <c r="C25" s="37" t="s">
        <v>135</v>
      </c>
      <c r="D25" s="38"/>
      <c r="E25" s="51">
        <v>0</v>
      </c>
      <c r="F25" s="51">
        <v>0</v>
      </c>
      <c r="G25" s="39">
        <v>0</v>
      </c>
      <c r="H25" s="51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2"/>
    </row>
    <row r="26" spans="2:21">
      <c r="B26" s="2"/>
      <c r="C26" s="37" t="s">
        <v>136</v>
      </c>
      <c r="D26" s="38"/>
      <c r="E26" s="51">
        <v>0</v>
      </c>
      <c r="F26" s="51">
        <v>0</v>
      </c>
      <c r="G26" s="39">
        <v>0</v>
      </c>
      <c r="H26" s="51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2"/>
    </row>
    <row r="27" spans="2:21">
      <c r="B27" s="2"/>
      <c r="C27" s="37" t="s">
        <v>137</v>
      </c>
      <c r="D27" s="38"/>
      <c r="E27" s="51">
        <v>0</v>
      </c>
      <c r="F27" s="51">
        <v>0</v>
      </c>
      <c r="G27" s="39">
        <v>0</v>
      </c>
      <c r="H27" s="51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2"/>
    </row>
    <row r="28" spans="2:21">
      <c r="B28" s="2"/>
      <c r="C28" s="37" t="s">
        <v>138</v>
      </c>
      <c r="D28" s="38"/>
      <c r="E28" s="51">
        <v>0</v>
      </c>
      <c r="F28" s="51">
        <v>0</v>
      </c>
      <c r="G28" s="39">
        <v>0</v>
      </c>
      <c r="H28" s="51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2"/>
    </row>
    <row r="29" spans="2:21">
      <c r="B29" s="2"/>
      <c r="C29" s="37" t="s">
        <v>139</v>
      </c>
      <c r="D29" s="38"/>
      <c r="E29" s="51">
        <v>0</v>
      </c>
      <c r="F29" s="51">
        <v>0</v>
      </c>
      <c r="G29" s="39">
        <v>0</v>
      </c>
      <c r="H29" s="51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2"/>
    </row>
    <row r="30" spans="2:21">
      <c r="B30" s="2"/>
      <c r="C30" s="37" t="s">
        <v>140</v>
      </c>
      <c r="D30" s="38"/>
      <c r="E30" s="51">
        <v>0</v>
      </c>
      <c r="F30" s="51">
        <v>0</v>
      </c>
      <c r="G30" s="39">
        <v>0</v>
      </c>
      <c r="H30" s="51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2"/>
    </row>
    <row r="31" spans="2:21">
      <c r="B31" s="2"/>
      <c r="C31" s="37" t="s">
        <v>141</v>
      </c>
      <c r="D31" s="38"/>
      <c r="E31" s="51">
        <v>0</v>
      </c>
      <c r="F31" s="51">
        <v>0</v>
      </c>
      <c r="G31" s="39">
        <v>0</v>
      </c>
      <c r="H31" s="51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2"/>
    </row>
    <row r="32" spans="2:21">
      <c r="B32" s="2"/>
      <c r="C32" s="37" t="s">
        <v>142</v>
      </c>
      <c r="D32" s="38"/>
      <c r="E32" s="51">
        <v>0</v>
      </c>
      <c r="F32" s="51">
        <v>0</v>
      </c>
      <c r="G32" s="39">
        <v>0</v>
      </c>
      <c r="H32" s="51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2"/>
    </row>
    <row r="33" spans="2:21">
      <c r="B33" s="2"/>
      <c r="C33" s="37" t="s">
        <v>143</v>
      </c>
      <c r="D33" s="38"/>
      <c r="E33" s="51">
        <v>0</v>
      </c>
      <c r="F33" s="51">
        <v>0</v>
      </c>
      <c r="G33" s="39">
        <v>0</v>
      </c>
      <c r="H33" s="51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2"/>
    </row>
    <row r="34" spans="2:21">
      <c r="B34" s="2"/>
      <c r="C34" s="37" t="s">
        <v>144</v>
      </c>
      <c r="D34" s="38"/>
      <c r="E34" s="51">
        <v>0</v>
      </c>
      <c r="F34" s="51">
        <v>0</v>
      </c>
      <c r="G34" s="39">
        <v>0</v>
      </c>
      <c r="H34" s="51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2"/>
    </row>
    <row r="35" spans="2:21">
      <c r="B35" s="2"/>
      <c r="C35" s="37" t="s">
        <v>145</v>
      </c>
      <c r="D35" s="38"/>
      <c r="E35" s="51">
        <v>0</v>
      </c>
      <c r="F35" s="51">
        <v>0</v>
      </c>
      <c r="G35" s="39">
        <v>0</v>
      </c>
      <c r="H35" s="51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2"/>
    </row>
    <row r="36" spans="2:21">
      <c r="B36" s="2"/>
      <c r="C36" s="37" t="s">
        <v>146</v>
      </c>
      <c r="D36" s="38"/>
      <c r="E36" s="51">
        <v>0</v>
      </c>
      <c r="F36" s="51">
        <v>0</v>
      </c>
      <c r="G36" s="39">
        <v>0</v>
      </c>
      <c r="H36" s="51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2"/>
    </row>
    <row r="37" spans="2:21">
      <c r="B37" s="2"/>
      <c r="C37" s="37" t="s">
        <v>147</v>
      </c>
      <c r="D37" s="38"/>
      <c r="E37" s="51">
        <v>0</v>
      </c>
      <c r="F37" s="51">
        <v>0</v>
      </c>
      <c r="G37" s="39">
        <v>0</v>
      </c>
      <c r="H37" s="51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2"/>
    </row>
    <row r="38" spans="2:21">
      <c r="B38" s="2"/>
      <c r="C38" s="37" t="s">
        <v>148</v>
      </c>
      <c r="D38" s="38"/>
      <c r="E38" s="51">
        <v>0</v>
      </c>
      <c r="F38" s="51">
        <v>0</v>
      </c>
      <c r="G38" s="39">
        <v>0</v>
      </c>
      <c r="H38" s="51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2"/>
    </row>
    <row r="39" spans="2:21">
      <c r="B39" s="2"/>
      <c r="C39" s="37" t="s">
        <v>149</v>
      </c>
      <c r="D39" s="38"/>
      <c r="E39" s="51">
        <v>0</v>
      </c>
      <c r="F39" s="51">
        <v>0</v>
      </c>
      <c r="G39" s="39">
        <v>0</v>
      </c>
      <c r="H39" s="51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2"/>
    </row>
    <row r="40" spans="2:21">
      <c r="B40" s="2"/>
      <c r="C40" s="37" t="s">
        <v>150</v>
      </c>
      <c r="D40" s="38"/>
      <c r="E40" s="51">
        <v>0</v>
      </c>
      <c r="F40" s="51">
        <v>0</v>
      </c>
      <c r="G40" s="39">
        <v>0</v>
      </c>
      <c r="H40" s="51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2"/>
    </row>
    <row r="41" spans="2:21">
      <c r="B41" s="2"/>
      <c r="C41" s="37" t="s">
        <v>151</v>
      </c>
      <c r="D41" s="38"/>
      <c r="E41" s="51">
        <v>0</v>
      </c>
      <c r="F41" s="51">
        <v>0</v>
      </c>
      <c r="G41" s="39">
        <v>0</v>
      </c>
      <c r="H41" s="51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2"/>
    </row>
    <row r="42" spans="2:21">
      <c r="B42" s="2"/>
      <c r="C42" s="37" t="s">
        <v>152</v>
      </c>
      <c r="D42" s="38"/>
      <c r="E42" s="51">
        <v>0</v>
      </c>
      <c r="F42" s="51">
        <v>0</v>
      </c>
      <c r="G42" s="39">
        <v>0</v>
      </c>
      <c r="H42" s="51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2"/>
    </row>
    <row r="43" spans="2:21">
      <c r="B43" s="2"/>
      <c r="C43" s="37" t="s">
        <v>153</v>
      </c>
      <c r="D43" s="38"/>
      <c r="E43" s="51">
        <v>0</v>
      </c>
      <c r="F43" s="51">
        <v>0</v>
      </c>
      <c r="G43" s="39">
        <v>0</v>
      </c>
      <c r="H43" s="51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2"/>
    </row>
    <row r="44" spans="2:21">
      <c r="B44" s="2"/>
      <c r="C44" s="37" t="s">
        <v>154</v>
      </c>
      <c r="D44" s="38"/>
      <c r="E44" s="51">
        <v>0</v>
      </c>
      <c r="F44" s="51">
        <v>0</v>
      </c>
      <c r="G44" s="39">
        <v>0</v>
      </c>
      <c r="H44" s="51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2"/>
    </row>
    <row r="45" spans="2:21">
      <c r="B45" s="2"/>
      <c r="C45" s="37" t="s">
        <v>155</v>
      </c>
      <c r="D45" s="38"/>
      <c r="E45" s="51">
        <v>0</v>
      </c>
      <c r="F45" s="51">
        <v>0</v>
      </c>
      <c r="G45" s="39">
        <v>0</v>
      </c>
      <c r="H45" s="51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2"/>
    </row>
    <row r="46" spans="2:21">
      <c r="B46" s="2"/>
      <c r="C46" s="37" t="s">
        <v>156</v>
      </c>
      <c r="D46" s="38"/>
      <c r="E46" s="51">
        <v>0</v>
      </c>
      <c r="F46" s="51">
        <v>0</v>
      </c>
      <c r="G46" s="39">
        <v>0</v>
      </c>
      <c r="H46" s="51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2"/>
    </row>
    <row r="47" spans="2:21">
      <c r="B47" s="2"/>
      <c r="C47" s="37" t="s">
        <v>157</v>
      </c>
      <c r="D47" s="38"/>
      <c r="E47" s="51">
        <v>0</v>
      </c>
      <c r="F47" s="51">
        <v>0</v>
      </c>
      <c r="G47" s="39">
        <v>0</v>
      </c>
      <c r="H47" s="51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2"/>
    </row>
    <row r="48" spans="2:21">
      <c r="B48" s="2"/>
      <c r="C48" s="37" t="s">
        <v>158</v>
      </c>
      <c r="D48" s="38"/>
      <c r="E48" s="51">
        <v>0</v>
      </c>
      <c r="F48" s="51">
        <v>0</v>
      </c>
      <c r="G48" s="39">
        <v>0</v>
      </c>
      <c r="H48" s="51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2"/>
    </row>
    <row r="49" spans="2:21">
      <c r="B49" s="2"/>
      <c r="C49" s="37" t="s">
        <v>159</v>
      </c>
      <c r="D49" s="38"/>
      <c r="E49" s="51">
        <v>0</v>
      </c>
      <c r="F49" s="51">
        <v>0</v>
      </c>
      <c r="G49" s="39">
        <v>0</v>
      </c>
      <c r="H49" s="51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2"/>
    </row>
    <row r="50" spans="2:21">
      <c r="B50" s="2"/>
      <c r="C50" s="37" t="s">
        <v>160</v>
      </c>
      <c r="D50" s="38"/>
      <c r="E50" s="51">
        <v>0</v>
      </c>
      <c r="F50" s="51">
        <v>0</v>
      </c>
      <c r="G50" s="39">
        <v>0</v>
      </c>
      <c r="H50" s="51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2"/>
    </row>
    <row r="51" spans="2:21">
      <c r="B51" s="2"/>
      <c r="C51" s="37" t="s">
        <v>161</v>
      </c>
      <c r="D51" s="38"/>
      <c r="E51" s="51">
        <v>0</v>
      </c>
      <c r="F51" s="51">
        <v>0</v>
      </c>
      <c r="G51" s="39">
        <v>0</v>
      </c>
      <c r="H51" s="51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2"/>
    </row>
    <row r="52" spans="2:21">
      <c r="B52" s="2"/>
      <c r="C52" s="37" t="s">
        <v>162</v>
      </c>
      <c r="D52" s="38"/>
      <c r="E52" s="51">
        <v>0</v>
      </c>
      <c r="F52" s="51">
        <v>0</v>
      </c>
      <c r="G52" s="39">
        <v>0</v>
      </c>
      <c r="H52" s="51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2"/>
    </row>
    <row r="53" spans="2:21">
      <c r="B53" s="2"/>
      <c r="C53" s="37" t="s">
        <v>163</v>
      </c>
      <c r="D53" s="38"/>
      <c r="E53" s="51">
        <v>0</v>
      </c>
      <c r="F53" s="51">
        <v>0</v>
      </c>
      <c r="G53" s="39">
        <v>0</v>
      </c>
      <c r="H53" s="51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2"/>
    </row>
    <row r="54" spans="2:21">
      <c r="B54" s="2"/>
      <c r="C54" s="37" t="s">
        <v>164</v>
      </c>
      <c r="D54" s="38"/>
      <c r="E54" s="51">
        <v>0</v>
      </c>
      <c r="F54" s="51">
        <v>0</v>
      </c>
      <c r="G54" s="39">
        <v>0</v>
      </c>
      <c r="H54" s="51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2"/>
    </row>
    <row r="55" spans="2:21">
      <c r="B55" s="2"/>
      <c r="C55" s="37" t="s">
        <v>165</v>
      </c>
      <c r="D55" s="38"/>
      <c r="E55" s="51">
        <v>0</v>
      </c>
      <c r="F55" s="51">
        <v>0</v>
      </c>
      <c r="G55" s="39">
        <v>0</v>
      </c>
      <c r="H55" s="51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2"/>
    </row>
    <row r="56" spans="2:21">
      <c r="B56" s="2"/>
      <c r="C56" s="37" t="s">
        <v>166</v>
      </c>
      <c r="D56" s="38"/>
      <c r="E56" s="51">
        <v>0</v>
      </c>
      <c r="F56" s="51">
        <v>0</v>
      </c>
      <c r="G56" s="39">
        <v>0</v>
      </c>
      <c r="H56" s="51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2"/>
    </row>
    <row r="57" spans="2:21">
      <c r="B57" s="2"/>
      <c r="C57" s="37" t="s">
        <v>167</v>
      </c>
      <c r="D57" s="38"/>
      <c r="E57" s="51">
        <v>0</v>
      </c>
      <c r="F57" s="51">
        <v>0</v>
      </c>
      <c r="G57" s="39">
        <v>0</v>
      </c>
      <c r="H57" s="51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2"/>
    </row>
    <row r="58" spans="2:21">
      <c r="B58" s="2"/>
      <c r="C58" s="37" t="s">
        <v>168</v>
      </c>
      <c r="D58" s="38"/>
      <c r="E58" s="51">
        <v>0</v>
      </c>
      <c r="F58" s="51">
        <v>0</v>
      </c>
      <c r="G58" s="39">
        <v>0</v>
      </c>
      <c r="H58" s="51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2"/>
    </row>
    <row r="59" spans="2:21">
      <c r="B59" s="2"/>
      <c r="C59" s="37" t="s">
        <v>169</v>
      </c>
      <c r="D59" s="38"/>
      <c r="E59" s="51">
        <v>0</v>
      </c>
      <c r="F59" s="51">
        <v>0</v>
      </c>
      <c r="G59" s="39">
        <v>0</v>
      </c>
      <c r="H59" s="51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2"/>
    </row>
    <row r="60" spans="2:21">
      <c r="B60" s="2"/>
      <c r="C60" s="37" t="s">
        <v>170</v>
      </c>
      <c r="D60" s="38"/>
      <c r="E60" s="51">
        <v>0</v>
      </c>
      <c r="F60" s="51">
        <v>0</v>
      </c>
      <c r="G60" s="39">
        <v>0</v>
      </c>
      <c r="H60" s="51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2"/>
    </row>
    <row r="61" spans="2:21">
      <c r="B61" s="2"/>
      <c r="C61" s="37" t="s">
        <v>171</v>
      </c>
      <c r="D61" s="38"/>
      <c r="E61" s="51">
        <v>0</v>
      </c>
      <c r="F61" s="51">
        <v>0</v>
      </c>
      <c r="G61" s="39">
        <v>0</v>
      </c>
      <c r="H61" s="51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2"/>
    </row>
    <row r="62" spans="2:21">
      <c r="B62" s="2"/>
      <c r="C62" s="37" t="s">
        <v>172</v>
      </c>
      <c r="D62" s="38"/>
      <c r="E62" s="51">
        <v>0</v>
      </c>
      <c r="F62" s="51">
        <v>0</v>
      </c>
      <c r="G62" s="39">
        <v>0</v>
      </c>
      <c r="H62" s="51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2"/>
    </row>
    <row r="63" spans="2:21">
      <c r="B63" s="2"/>
      <c r="C63" s="37" t="s">
        <v>173</v>
      </c>
      <c r="D63" s="38"/>
      <c r="E63" s="51">
        <v>0</v>
      </c>
      <c r="F63" s="51">
        <v>0</v>
      </c>
      <c r="G63" s="39">
        <v>0</v>
      </c>
      <c r="H63" s="51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2"/>
    </row>
    <row r="64" spans="2:21">
      <c r="B64" s="2"/>
      <c r="C64" s="37" t="s">
        <v>174</v>
      </c>
      <c r="D64" s="38"/>
      <c r="E64" s="51">
        <v>0</v>
      </c>
      <c r="F64" s="51">
        <v>0</v>
      </c>
      <c r="G64" s="39">
        <v>0</v>
      </c>
      <c r="H64" s="51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2"/>
    </row>
    <row r="65" spans="2:21">
      <c r="B65" s="2"/>
      <c r="C65" s="37" t="s">
        <v>175</v>
      </c>
      <c r="D65" s="38"/>
      <c r="E65" s="51">
        <v>0</v>
      </c>
      <c r="F65" s="51">
        <v>0</v>
      </c>
      <c r="G65" s="39">
        <v>0</v>
      </c>
      <c r="H65" s="51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2"/>
    </row>
    <row r="66" spans="2:21">
      <c r="B66" s="2"/>
      <c r="C66" s="37" t="s">
        <v>176</v>
      </c>
      <c r="D66" s="38"/>
      <c r="E66" s="51">
        <v>0</v>
      </c>
      <c r="F66" s="51">
        <v>0</v>
      </c>
      <c r="G66" s="39">
        <v>0</v>
      </c>
      <c r="H66" s="51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2"/>
    </row>
    <row r="67" spans="2:21">
      <c r="B67" s="2"/>
      <c r="C67" s="37" t="s">
        <v>177</v>
      </c>
      <c r="D67" s="38"/>
      <c r="E67" s="51">
        <v>0</v>
      </c>
      <c r="F67" s="51">
        <v>0</v>
      </c>
      <c r="G67" s="39">
        <v>0</v>
      </c>
      <c r="H67" s="51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2"/>
    </row>
    <row r="68" spans="2:21">
      <c r="B68" s="2"/>
      <c r="C68" s="37" t="s">
        <v>178</v>
      </c>
      <c r="D68" s="38"/>
      <c r="E68" s="51">
        <v>0</v>
      </c>
      <c r="F68" s="51">
        <v>0</v>
      </c>
      <c r="G68" s="39">
        <v>0</v>
      </c>
      <c r="H68" s="51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2"/>
    </row>
    <row r="69" spans="2:21">
      <c r="B69" s="2"/>
      <c r="C69" s="37" t="s">
        <v>179</v>
      </c>
      <c r="D69" s="38"/>
      <c r="E69" s="51">
        <v>0</v>
      </c>
      <c r="F69" s="51">
        <v>0</v>
      </c>
      <c r="G69" s="39">
        <v>0</v>
      </c>
      <c r="H69" s="51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2"/>
    </row>
    <row r="70" spans="2:21">
      <c r="B70" s="2"/>
      <c r="C70" s="37" t="s">
        <v>180</v>
      </c>
      <c r="D70" s="38"/>
      <c r="E70" s="51">
        <v>0</v>
      </c>
      <c r="F70" s="51">
        <v>0</v>
      </c>
      <c r="G70" s="39">
        <v>0</v>
      </c>
      <c r="H70" s="51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2"/>
    </row>
    <row r="71" spans="2:21">
      <c r="B71" s="2"/>
      <c r="C71" s="37" t="s">
        <v>181</v>
      </c>
      <c r="D71" s="38"/>
      <c r="E71" s="51">
        <v>0</v>
      </c>
      <c r="F71" s="51">
        <v>0</v>
      </c>
      <c r="G71" s="39">
        <v>0</v>
      </c>
      <c r="H71" s="51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2"/>
    </row>
    <row r="72" spans="2:21">
      <c r="B72" s="2"/>
      <c r="C72" s="37" t="s">
        <v>182</v>
      </c>
      <c r="D72" s="38"/>
      <c r="E72" s="51">
        <v>0</v>
      </c>
      <c r="F72" s="51">
        <v>0</v>
      </c>
      <c r="G72" s="39">
        <v>0</v>
      </c>
      <c r="H72" s="51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2"/>
    </row>
    <row r="73" spans="2:21">
      <c r="B73" s="2"/>
      <c r="C73" s="37" t="s">
        <v>183</v>
      </c>
      <c r="D73" s="38"/>
      <c r="E73" s="51">
        <v>0</v>
      </c>
      <c r="F73" s="51">
        <v>0</v>
      </c>
      <c r="G73" s="39">
        <v>0</v>
      </c>
      <c r="H73" s="51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2"/>
    </row>
    <row r="74" spans="2:21">
      <c r="B74" s="2"/>
      <c r="C74" s="37" t="s">
        <v>184</v>
      </c>
      <c r="D74" s="38"/>
      <c r="E74" s="51">
        <v>0</v>
      </c>
      <c r="F74" s="51">
        <v>0</v>
      </c>
      <c r="G74" s="39">
        <v>0</v>
      </c>
      <c r="H74" s="51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2"/>
    </row>
    <row r="75" spans="2:21">
      <c r="B75" s="2"/>
      <c r="C75" s="37" t="s">
        <v>185</v>
      </c>
      <c r="D75" s="38"/>
      <c r="E75" s="51">
        <v>0</v>
      </c>
      <c r="F75" s="51">
        <v>0</v>
      </c>
      <c r="G75" s="39">
        <v>0</v>
      </c>
      <c r="H75" s="51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2"/>
    </row>
    <row r="76" spans="2:21">
      <c r="B76" s="2"/>
      <c r="C76" s="37" t="s">
        <v>186</v>
      </c>
      <c r="D76" s="38"/>
      <c r="E76" s="51">
        <v>0</v>
      </c>
      <c r="F76" s="51">
        <v>0</v>
      </c>
      <c r="G76" s="39">
        <v>0</v>
      </c>
      <c r="H76" s="51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2"/>
    </row>
    <row r="77" spans="2:21">
      <c r="B77" s="2"/>
      <c r="C77" s="37" t="s">
        <v>187</v>
      </c>
      <c r="D77" s="38"/>
      <c r="E77" s="51">
        <v>0</v>
      </c>
      <c r="F77" s="51">
        <v>0</v>
      </c>
      <c r="G77" s="39">
        <v>0</v>
      </c>
      <c r="H77" s="51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2"/>
    </row>
    <row r="78" spans="2:21">
      <c r="B78" s="2"/>
      <c r="C78" s="37" t="s">
        <v>188</v>
      </c>
      <c r="D78" s="38"/>
      <c r="E78" s="51">
        <v>0</v>
      </c>
      <c r="F78" s="51">
        <v>0</v>
      </c>
      <c r="G78" s="39">
        <v>0</v>
      </c>
      <c r="H78" s="51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2"/>
    </row>
    <row r="79" spans="2:21">
      <c r="B79" s="2"/>
      <c r="C79" s="37" t="s">
        <v>189</v>
      </c>
      <c r="D79" s="38"/>
      <c r="E79" s="51">
        <v>0</v>
      </c>
      <c r="F79" s="51">
        <v>0</v>
      </c>
      <c r="G79" s="39">
        <v>0</v>
      </c>
      <c r="H79" s="51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2"/>
    </row>
    <row r="80" spans="2:21">
      <c r="B80" s="2"/>
      <c r="C80" s="37" t="s">
        <v>190</v>
      </c>
      <c r="D80" s="38"/>
      <c r="E80" s="51">
        <v>0</v>
      </c>
      <c r="F80" s="51">
        <v>0</v>
      </c>
      <c r="G80" s="39">
        <v>0</v>
      </c>
      <c r="H80" s="51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2"/>
    </row>
    <row r="81" spans="2:21">
      <c r="B81" s="2"/>
      <c r="C81" s="37" t="s">
        <v>191</v>
      </c>
      <c r="D81" s="38"/>
      <c r="E81" s="51">
        <v>0</v>
      </c>
      <c r="F81" s="51">
        <v>0</v>
      </c>
      <c r="G81" s="39">
        <v>0</v>
      </c>
      <c r="H81" s="51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2"/>
    </row>
    <row r="82" spans="2:21">
      <c r="B82" s="2"/>
      <c r="C82" s="37" t="s">
        <v>192</v>
      </c>
      <c r="D82" s="38"/>
      <c r="E82" s="51">
        <v>0</v>
      </c>
      <c r="F82" s="51">
        <v>0</v>
      </c>
      <c r="G82" s="39">
        <v>0</v>
      </c>
      <c r="H82" s="51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2"/>
    </row>
    <row r="83" spans="2:21">
      <c r="B83" s="2"/>
      <c r="C83" s="37" t="s">
        <v>193</v>
      </c>
      <c r="D83" s="38"/>
      <c r="E83" s="51">
        <v>0</v>
      </c>
      <c r="F83" s="51">
        <v>0</v>
      </c>
      <c r="G83" s="39">
        <v>0</v>
      </c>
      <c r="H83" s="51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2"/>
    </row>
    <row r="84" spans="2:21">
      <c r="B84" s="2"/>
      <c r="C84" s="37" t="s">
        <v>194</v>
      </c>
      <c r="D84" s="38"/>
      <c r="E84" s="51">
        <v>0</v>
      </c>
      <c r="F84" s="51">
        <v>0</v>
      </c>
      <c r="G84" s="39">
        <v>0</v>
      </c>
      <c r="H84" s="51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2"/>
    </row>
    <row r="85" spans="2:21">
      <c r="B85" s="2"/>
      <c r="C85" s="37" t="s">
        <v>195</v>
      </c>
      <c r="D85" s="38"/>
      <c r="E85" s="51">
        <v>0</v>
      </c>
      <c r="F85" s="51">
        <v>0</v>
      </c>
      <c r="G85" s="39">
        <v>0</v>
      </c>
      <c r="H85" s="51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2"/>
    </row>
    <row r="86" spans="2:21">
      <c r="B86" s="2"/>
      <c r="C86" s="37" t="s">
        <v>196</v>
      </c>
      <c r="D86" s="38"/>
      <c r="E86" s="51">
        <v>0</v>
      </c>
      <c r="F86" s="51">
        <v>0</v>
      </c>
      <c r="G86" s="39">
        <v>0</v>
      </c>
      <c r="H86" s="51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2"/>
    </row>
    <row r="87" spans="2:21">
      <c r="B87" s="2"/>
      <c r="C87" s="37" t="s">
        <v>197</v>
      </c>
      <c r="D87" s="38"/>
      <c r="E87" s="51">
        <v>0</v>
      </c>
      <c r="F87" s="51">
        <v>0</v>
      </c>
      <c r="G87" s="39">
        <v>0</v>
      </c>
      <c r="H87" s="51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2"/>
    </row>
    <row r="88" spans="2:21">
      <c r="B88" s="2"/>
      <c r="C88" s="37" t="s">
        <v>198</v>
      </c>
      <c r="D88" s="38"/>
      <c r="E88" s="51">
        <v>0</v>
      </c>
      <c r="F88" s="51">
        <v>0</v>
      </c>
      <c r="G88" s="39">
        <v>0</v>
      </c>
      <c r="H88" s="51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2"/>
    </row>
    <row r="89" spans="2:21">
      <c r="B89" s="2"/>
      <c r="C89" s="37" t="s">
        <v>199</v>
      </c>
      <c r="D89" s="38"/>
      <c r="E89" s="51">
        <v>0</v>
      </c>
      <c r="F89" s="51">
        <v>0</v>
      </c>
      <c r="G89" s="39">
        <v>0</v>
      </c>
      <c r="H89" s="51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2"/>
    </row>
    <row r="90" spans="2:21">
      <c r="B90" s="2"/>
      <c r="C90" s="37" t="s">
        <v>200</v>
      </c>
      <c r="D90" s="38"/>
      <c r="E90" s="51">
        <v>0</v>
      </c>
      <c r="F90" s="51">
        <v>0</v>
      </c>
      <c r="G90" s="39">
        <v>0</v>
      </c>
      <c r="H90" s="51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2"/>
    </row>
    <row r="91" spans="2:21">
      <c r="B91" s="2"/>
      <c r="C91" s="37" t="s">
        <v>201</v>
      </c>
      <c r="D91" s="38"/>
      <c r="E91" s="51">
        <v>0</v>
      </c>
      <c r="F91" s="51">
        <v>0</v>
      </c>
      <c r="G91" s="39">
        <v>0</v>
      </c>
      <c r="H91" s="51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2"/>
    </row>
    <row r="92" spans="2:21">
      <c r="B92" s="2"/>
      <c r="C92" s="37" t="s">
        <v>202</v>
      </c>
      <c r="D92" s="38"/>
      <c r="E92" s="51">
        <v>0</v>
      </c>
      <c r="F92" s="51">
        <v>0</v>
      </c>
      <c r="G92" s="39">
        <v>0</v>
      </c>
      <c r="H92" s="51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2"/>
    </row>
    <row r="93" spans="2:21">
      <c r="B93" s="2"/>
      <c r="C93" s="37" t="s">
        <v>203</v>
      </c>
      <c r="D93" s="38"/>
      <c r="E93" s="51">
        <v>0</v>
      </c>
      <c r="F93" s="51">
        <v>0</v>
      </c>
      <c r="G93" s="39">
        <v>0</v>
      </c>
      <c r="H93" s="51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2"/>
    </row>
    <row r="94" spans="2:21">
      <c r="B94" s="2"/>
      <c r="C94" s="37" t="s">
        <v>204</v>
      </c>
      <c r="D94" s="38"/>
      <c r="E94" s="51">
        <v>0</v>
      </c>
      <c r="F94" s="51">
        <v>0</v>
      </c>
      <c r="G94" s="39">
        <v>0</v>
      </c>
      <c r="H94" s="51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2"/>
    </row>
    <row r="95" spans="2:21">
      <c r="B95" s="2"/>
      <c r="C95" s="37" t="s">
        <v>205</v>
      </c>
      <c r="D95" s="38"/>
      <c r="E95" s="51">
        <v>0</v>
      </c>
      <c r="F95" s="51">
        <v>0</v>
      </c>
      <c r="G95" s="39">
        <v>0</v>
      </c>
      <c r="H95" s="51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2"/>
    </row>
    <row r="96" spans="2:21">
      <c r="B96" s="2"/>
      <c r="C96" s="37" t="s">
        <v>206</v>
      </c>
      <c r="D96" s="38"/>
      <c r="E96" s="51">
        <v>0</v>
      </c>
      <c r="F96" s="51">
        <v>0</v>
      </c>
      <c r="G96" s="39">
        <v>0</v>
      </c>
      <c r="H96" s="51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2"/>
    </row>
    <row r="97" spans="2:21">
      <c r="B97" s="2"/>
      <c r="C97" s="37" t="s">
        <v>207</v>
      </c>
      <c r="D97" s="38"/>
      <c r="E97" s="51">
        <v>0</v>
      </c>
      <c r="F97" s="51">
        <v>0</v>
      </c>
      <c r="G97" s="39">
        <v>0</v>
      </c>
      <c r="H97" s="51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2"/>
    </row>
    <row r="98" spans="2:21">
      <c r="B98" s="2"/>
      <c r="C98" s="37" t="s">
        <v>208</v>
      </c>
      <c r="D98" s="38"/>
      <c r="E98" s="51">
        <v>0</v>
      </c>
      <c r="F98" s="51">
        <v>0</v>
      </c>
      <c r="G98" s="39">
        <v>0</v>
      </c>
      <c r="H98" s="51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2"/>
    </row>
    <row r="99" spans="2:21">
      <c r="B99" s="2"/>
      <c r="C99" s="37" t="s">
        <v>209</v>
      </c>
      <c r="D99" s="38"/>
      <c r="E99" s="51">
        <v>0</v>
      </c>
      <c r="F99" s="51">
        <v>0</v>
      </c>
      <c r="G99" s="39">
        <v>0</v>
      </c>
      <c r="H99" s="51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2"/>
    </row>
    <row r="100" spans="2:21">
      <c r="B100" s="2"/>
      <c r="C100" s="37" t="s">
        <v>210</v>
      </c>
      <c r="D100" s="38"/>
      <c r="E100" s="51">
        <v>0</v>
      </c>
      <c r="F100" s="51">
        <v>0</v>
      </c>
      <c r="G100" s="39">
        <v>0</v>
      </c>
      <c r="H100" s="51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2"/>
    </row>
    <row r="101" spans="2:21">
      <c r="B101" s="2"/>
      <c r="C101" s="37" t="s">
        <v>211</v>
      </c>
      <c r="D101" s="38"/>
      <c r="E101" s="51">
        <v>0</v>
      </c>
      <c r="F101" s="51">
        <v>0</v>
      </c>
      <c r="G101" s="39">
        <v>0</v>
      </c>
      <c r="H101" s="51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2"/>
    </row>
    <row r="102" spans="2:21">
      <c r="B102" s="2"/>
      <c r="C102" s="37" t="s">
        <v>212</v>
      </c>
      <c r="D102" s="38"/>
      <c r="E102" s="51">
        <v>0</v>
      </c>
      <c r="F102" s="51">
        <v>0</v>
      </c>
      <c r="G102" s="39">
        <v>0</v>
      </c>
      <c r="H102" s="51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2"/>
    </row>
    <row r="103" spans="2:21">
      <c r="B103" s="2"/>
      <c r="C103" s="37" t="s">
        <v>213</v>
      </c>
      <c r="D103" s="38"/>
      <c r="E103" s="51">
        <v>0</v>
      </c>
      <c r="F103" s="51">
        <v>0</v>
      </c>
      <c r="G103" s="39">
        <v>0</v>
      </c>
      <c r="H103" s="51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2"/>
    </row>
    <row r="104" spans="2:21">
      <c r="B104" s="2"/>
      <c r="C104" s="37" t="s">
        <v>214</v>
      </c>
      <c r="D104" s="38"/>
      <c r="E104" s="51">
        <v>0</v>
      </c>
      <c r="F104" s="51">
        <v>0</v>
      </c>
      <c r="G104" s="39">
        <v>0</v>
      </c>
      <c r="H104" s="51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2"/>
    </row>
    <row r="105" spans="2:21">
      <c r="B105" s="2"/>
      <c r="C105" s="37" t="s">
        <v>215</v>
      </c>
      <c r="D105" s="38"/>
      <c r="E105" s="51">
        <v>0</v>
      </c>
      <c r="F105" s="51">
        <v>0</v>
      </c>
      <c r="G105" s="39">
        <v>0</v>
      </c>
      <c r="H105" s="51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2"/>
    </row>
    <row r="106" spans="2:21">
      <c r="B106" s="2"/>
      <c r="C106" s="37" t="s">
        <v>216</v>
      </c>
      <c r="D106" s="38"/>
      <c r="E106" s="51">
        <v>0</v>
      </c>
      <c r="F106" s="51">
        <v>0</v>
      </c>
      <c r="G106" s="39">
        <v>0</v>
      </c>
      <c r="H106" s="51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2"/>
    </row>
    <row r="107" spans="2:21">
      <c r="B107" s="2"/>
      <c r="C107" s="37" t="s">
        <v>217</v>
      </c>
      <c r="D107" s="38"/>
      <c r="E107" s="51">
        <v>0</v>
      </c>
      <c r="F107" s="51">
        <v>0</v>
      </c>
      <c r="G107" s="39">
        <v>0</v>
      </c>
      <c r="H107" s="51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2"/>
    </row>
    <row r="108" spans="2:21">
      <c r="B108" s="2"/>
      <c r="C108" s="37" t="s">
        <v>218</v>
      </c>
      <c r="D108" s="38"/>
      <c r="E108" s="51">
        <v>0</v>
      </c>
      <c r="F108" s="51">
        <v>0</v>
      </c>
      <c r="G108" s="39">
        <v>0</v>
      </c>
      <c r="H108" s="51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2"/>
    </row>
    <row r="109" spans="2:21">
      <c r="B109" s="2"/>
      <c r="C109" s="37" t="s">
        <v>219</v>
      </c>
      <c r="D109" s="38"/>
      <c r="E109" s="51">
        <v>0</v>
      </c>
      <c r="F109" s="51">
        <v>0</v>
      </c>
      <c r="G109" s="39">
        <v>0</v>
      </c>
      <c r="H109" s="51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2"/>
    </row>
    <row r="110" spans="2:21">
      <c r="B110" s="2"/>
      <c r="C110" s="37" t="s">
        <v>220</v>
      </c>
      <c r="D110" s="38"/>
      <c r="E110" s="51">
        <v>0</v>
      </c>
      <c r="F110" s="51">
        <v>0</v>
      </c>
      <c r="G110" s="39">
        <v>0</v>
      </c>
      <c r="H110" s="51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2"/>
    </row>
    <row r="111" spans="2:21">
      <c r="B111" s="2"/>
      <c r="C111" s="37" t="s">
        <v>221</v>
      </c>
      <c r="D111" s="38"/>
      <c r="E111" s="51">
        <v>0</v>
      </c>
      <c r="F111" s="51">
        <v>0</v>
      </c>
      <c r="G111" s="39">
        <v>0</v>
      </c>
      <c r="H111" s="51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2"/>
    </row>
    <row r="112" spans="2:21">
      <c r="B112" s="2"/>
      <c r="C112" s="37" t="s">
        <v>222</v>
      </c>
      <c r="D112" s="38"/>
      <c r="E112" s="51">
        <v>0</v>
      </c>
      <c r="F112" s="51">
        <v>0</v>
      </c>
      <c r="G112" s="39">
        <v>0</v>
      </c>
      <c r="H112" s="51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2"/>
    </row>
    <row r="113" spans="1:21">
      <c r="B113" s="2"/>
      <c r="C113" s="37" t="s">
        <v>223</v>
      </c>
      <c r="D113" s="38"/>
      <c r="E113" s="51">
        <v>0</v>
      </c>
      <c r="F113" s="51">
        <v>0</v>
      </c>
      <c r="G113" s="39">
        <v>0</v>
      </c>
      <c r="H113" s="51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2"/>
    </row>
    <row r="114" spans="1:21" s="14" customFormat="1">
      <c r="B114" s="5"/>
      <c r="C114" s="49" t="s">
        <v>224</v>
      </c>
      <c r="D114" s="50"/>
      <c r="E114" s="51">
        <v>0</v>
      </c>
      <c r="F114" s="51">
        <v>0</v>
      </c>
      <c r="G114" s="39">
        <v>0</v>
      </c>
      <c r="H114" s="51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"/>
    </row>
    <row r="115" spans="1:21" s="14" customFormat="1">
      <c r="A115" s="15" t="s">
        <v>225</v>
      </c>
      <c r="B115" s="5"/>
      <c r="C115" s="49" t="s">
        <v>226</v>
      </c>
      <c r="D115" s="50"/>
      <c r="E115" s="51">
        <v>0</v>
      </c>
      <c r="F115" s="51">
        <v>0</v>
      </c>
      <c r="G115" s="39">
        <v>0</v>
      </c>
      <c r="H115" s="51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"/>
    </row>
    <row r="116" spans="1:21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</sheetData>
  <sheetProtection sheet="1" formatColumns="0" formatRows="0" insertRows="0" deleteRows="0" selectLockedCells="1"/>
  <mergeCells count="1727">
    <mergeCell ref="C7:T7"/>
    <mergeCell ref="C9:T9"/>
    <mergeCell ref="C10:T10"/>
    <mergeCell ref="C11:T11"/>
    <mergeCell ref="C13:T13"/>
    <mergeCell ref="S15"/>
    <mergeCell ref="P14:T14"/>
    <mergeCell ref="T15"/>
    <mergeCell ref="L15"/>
    <mergeCell ref="M15"/>
    <mergeCell ref="J14:M14"/>
    <mergeCell ref="N15"/>
    <mergeCell ref="O15"/>
    <mergeCell ref="N14:O14"/>
    <mergeCell ref="H15"/>
    <mergeCell ref="I15"/>
    <mergeCell ref="H14:I14"/>
    <mergeCell ref="J15"/>
    <mergeCell ref="K15"/>
    <mergeCell ref="C14:D15"/>
    <mergeCell ref="E15"/>
    <mergeCell ref="F15"/>
    <mergeCell ref="G15"/>
    <mergeCell ref="E14:G14"/>
    <mergeCell ref="N16"/>
    <mergeCell ref="O16"/>
    <mergeCell ref="P16"/>
    <mergeCell ref="Q16"/>
    <mergeCell ref="R16"/>
    <mergeCell ref="I16"/>
    <mergeCell ref="J16"/>
    <mergeCell ref="K16"/>
    <mergeCell ref="L16"/>
    <mergeCell ref="M16"/>
    <mergeCell ref="C16:D16"/>
    <mergeCell ref="E16"/>
    <mergeCell ref="F16"/>
    <mergeCell ref="G16"/>
    <mergeCell ref="H16"/>
    <mergeCell ref="P15"/>
    <mergeCell ref="Q15"/>
    <mergeCell ref="R15"/>
    <mergeCell ref="R17"/>
    <mergeCell ref="S17"/>
    <mergeCell ref="T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O18"/>
    <mergeCell ref="P18"/>
    <mergeCell ref="S16"/>
    <mergeCell ref="T16"/>
    <mergeCell ref="C17:D17"/>
    <mergeCell ref="E17"/>
    <mergeCell ref="F17"/>
    <mergeCell ref="G17"/>
    <mergeCell ref="H17"/>
    <mergeCell ref="I17"/>
    <mergeCell ref="J17"/>
    <mergeCell ref="K17"/>
    <mergeCell ref="L17"/>
    <mergeCell ref="M17"/>
    <mergeCell ref="N17"/>
    <mergeCell ref="O17"/>
    <mergeCell ref="P17"/>
    <mergeCell ref="Q17"/>
    <mergeCell ref="S19"/>
    <mergeCell ref="T19"/>
    <mergeCell ref="Q18"/>
    <mergeCell ref="R18"/>
    <mergeCell ref="S18"/>
    <mergeCell ref="T18"/>
    <mergeCell ref="C19:D19"/>
    <mergeCell ref="E19"/>
    <mergeCell ref="F19"/>
    <mergeCell ref="G19"/>
    <mergeCell ref="H19"/>
    <mergeCell ref="I19"/>
    <mergeCell ref="J19"/>
    <mergeCell ref="K19"/>
    <mergeCell ref="L19"/>
    <mergeCell ref="M19"/>
    <mergeCell ref="N19"/>
    <mergeCell ref="O19"/>
    <mergeCell ref="N20"/>
    <mergeCell ref="O20"/>
    <mergeCell ref="P20"/>
    <mergeCell ref="Q20"/>
    <mergeCell ref="R20"/>
    <mergeCell ref="I20"/>
    <mergeCell ref="J20"/>
    <mergeCell ref="K20"/>
    <mergeCell ref="L20"/>
    <mergeCell ref="M20"/>
    <mergeCell ref="C20:D20"/>
    <mergeCell ref="E20"/>
    <mergeCell ref="F20"/>
    <mergeCell ref="G20"/>
    <mergeCell ref="H20"/>
    <mergeCell ref="P19"/>
    <mergeCell ref="Q19"/>
    <mergeCell ref="R19"/>
    <mergeCell ref="R21"/>
    <mergeCell ref="S21"/>
    <mergeCell ref="T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O22"/>
    <mergeCell ref="P22"/>
    <mergeCell ref="S20"/>
    <mergeCell ref="T20"/>
    <mergeCell ref="C21:D21"/>
    <mergeCell ref="E21"/>
    <mergeCell ref="F21"/>
    <mergeCell ref="G21"/>
    <mergeCell ref="H21"/>
    <mergeCell ref="I21"/>
    <mergeCell ref="J21"/>
    <mergeCell ref="K21"/>
    <mergeCell ref="L21"/>
    <mergeCell ref="M21"/>
    <mergeCell ref="N21"/>
    <mergeCell ref="O21"/>
    <mergeCell ref="P21"/>
    <mergeCell ref="Q21"/>
    <mergeCell ref="S23"/>
    <mergeCell ref="T23"/>
    <mergeCell ref="Q22"/>
    <mergeCell ref="R22"/>
    <mergeCell ref="S22"/>
    <mergeCell ref="T22"/>
    <mergeCell ref="C23:D23"/>
    <mergeCell ref="E23"/>
    <mergeCell ref="F23"/>
    <mergeCell ref="G23"/>
    <mergeCell ref="H23"/>
    <mergeCell ref="I23"/>
    <mergeCell ref="J23"/>
    <mergeCell ref="K23"/>
    <mergeCell ref="L23"/>
    <mergeCell ref="M23"/>
    <mergeCell ref="N23"/>
    <mergeCell ref="O23"/>
    <mergeCell ref="N24"/>
    <mergeCell ref="O24"/>
    <mergeCell ref="P24"/>
    <mergeCell ref="Q24"/>
    <mergeCell ref="R24"/>
    <mergeCell ref="I24"/>
    <mergeCell ref="J24"/>
    <mergeCell ref="K24"/>
    <mergeCell ref="L24"/>
    <mergeCell ref="M24"/>
    <mergeCell ref="C24:D24"/>
    <mergeCell ref="E24"/>
    <mergeCell ref="F24"/>
    <mergeCell ref="G24"/>
    <mergeCell ref="H24"/>
    <mergeCell ref="P23"/>
    <mergeCell ref="Q23"/>
    <mergeCell ref="R23"/>
    <mergeCell ref="R25"/>
    <mergeCell ref="S25"/>
    <mergeCell ref="T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O26"/>
    <mergeCell ref="P26"/>
    <mergeCell ref="S24"/>
    <mergeCell ref="T24"/>
    <mergeCell ref="C25:D25"/>
    <mergeCell ref="E25"/>
    <mergeCell ref="F25"/>
    <mergeCell ref="G25"/>
    <mergeCell ref="H25"/>
    <mergeCell ref="I25"/>
    <mergeCell ref="J25"/>
    <mergeCell ref="K25"/>
    <mergeCell ref="L25"/>
    <mergeCell ref="M25"/>
    <mergeCell ref="N25"/>
    <mergeCell ref="O25"/>
    <mergeCell ref="P25"/>
    <mergeCell ref="Q25"/>
    <mergeCell ref="S27"/>
    <mergeCell ref="T27"/>
    <mergeCell ref="Q26"/>
    <mergeCell ref="R26"/>
    <mergeCell ref="S26"/>
    <mergeCell ref="T26"/>
    <mergeCell ref="C27:D27"/>
    <mergeCell ref="E27"/>
    <mergeCell ref="F27"/>
    <mergeCell ref="G27"/>
    <mergeCell ref="H27"/>
    <mergeCell ref="I27"/>
    <mergeCell ref="J27"/>
    <mergeCell ref="K27"/>
    <mergeCell ref="L27"/>
    <mergeCell ref="M27"/>
    <mergeCell ref="N27"/>
    <mergeCell ref="O27"/>
    <mergeCell ref="N28"/>
    <mergeCell ref="O28"/>
    <mergeCell ref="P28"/>
    <mergeCell ref="Q28"/>
    <mergeCell ref="R28"/>
    <mergeCell ref="I28"/>
    <mergeCell ref="J28"/>
    <mergeCell ref="K28"/>
    <mergeCell ref="L28"/>
    <mergeCell ref="M28"/>
    <mergeCell ref="C28:D28"/>
    <mergeCell ref="E28"/>
    <mergeCell ref="F28"/>
    <mergeCell ref="G28"/>
    <mergeCell ref="H28"/>
    <mergeCell ref="P27"/>
    <mergeCell ref="Q27"/>
    <mergeCell ref="R27"/>
    <mergeCell ref="R29"/>
    <mergeCell ref="S29"/>
    <mergeCell ref="T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O30"/>
    <mergeCell ref="P30"/>
    <mergeCell ref="S28"/>
    <mergeCell ref="T28"/>
    <mergeCell ref="C29:D29"/>
    <mergeCell ref="E29"/>
    <mergeCell ref="F29"/>
    <mergeCell ref="G29"/>
    <mergeCell ref="H29"/>
    <mergeCell ref="I29"/>
    <mergeCell ref="J29"/>
    <mergeCell ref="K29"/>
    <mergeCell ref="L29"/>
    <mergeCell ref="M29"/>
    <mergeCell ref="N29"/>
    <mergeCell ref="O29"/>
    <mergeCell ref="P29"/>
    <mergeCell ref="Q29"/>
    <mergeCell ref="S31"/>
    <mergeCell ref="T31"/>
    <mergeCell ref="Q30"/>
    <mergeCell ref="R30"/>
    <mergeCell ref="S30"/>
    <mergeCell ref="T30"/>
    <mergeCell ref="C31:D31"/>
    <mergeCell ref="E31"/>
    <mergeCell ref="F31"/>
    <mergeCell ref="G31"/>
    <mergeCell ref="H31"/>
    <mergeCell ref="I31"/>
    <mergeCell ref="J31"/>
    <mergeCell ref="K31"/>
    <mergeCell ref="L31"/>
    <mergeCell ref="M31"/>
    <mergeCell ref="N31"/>
    <mergeCell ref="O31"/>
    <mergeCell ref="N32"/>
    <mergeCell ref="O32"/>
    <mergeCell ref="P32"/>
    <mergeCell ref="Q32"/>
    <mergeCell ref="R32"/>
    <mergeCell ref="I32"/>
    <mergeCell ref="J32"/>
    <mergeCell ref="K32"/>
    <mergeCell ref="L32"/>
    <mergeCell ref="M32"/>
    <mergeCell ref="C32:D32"/>
    <mergeCell ref="E32"/>
    <mergeCell ref="F32"/>
    <mergeCell ref="G32"/>
    <mergeCell ref="H32"/>
    <mergeCell ref="P31"/>
    <mergeCell ref="Q31"/>
    <mergeCell ref="R31"/>
    <mergeCell ref="R33"/>
    <mergeCell ref="S33"/>
    <mergeCell ref="T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O34"/>
    <mergeCell ref="P34"/>
    <mergeCell ref="S32"/>
    <mergeCell ref="T32"/>
    <mergeCell ref="C33:D33"/>
    <mergeCell ref="E33"/>
    <mergeCell ref="F33"/>
    <mergeCell ref="G33"/>
    <mergeCell ref="H33"/>
    <mergeCell ref="I33"/>
    <mergeCell ref="J33"/>
    <mergeCell ref="K33"/>
    <mergeCell ref="L33"/>
    <mergeCell ref="M33"/>
    <mergeCell ref="N33"/>
    <mergeCell ref="O33"/>
    <mergeCell ref="P33"/>
    <mergeCell ref="Q33"/>
    <mergeCell ref="S35"/>
    <mergeCell ref="T35"/>
    <mergeCell ref="Q34"/>
    <mergeCell ref="R34"/>
    <mergeCell ref="S34"/>
    <mergeCell ref="T34"/>
    <mergeCell ref="C35:D35"/>
    <mergeCell ref="E35"/>
    <mergeCell ref="F35"/>
    <mergeCell ref="G35"/>
    <mergeCell ref="H35"/>
    <mergeCell ref="I35"/>
    <mergeCell ref="J35"/>
    <mergeCell ref="K35"/>
    <mergeCell ref="L35"/>
    <mergeCell ref="M35"/>
    <mergeCell ref="N35"/>
    <mergeCell ref="O35"/>
    <mergeCell ref="N36"/>
    <mergeCell ref="O36"/>
    <mergeCell ref="P36"/>
    <mergeCell ref="Q36"/>
    <mergeCell ref="R36"/>
    <mergeCell ref="I36"/>
    <mergeCell ref="J36"/>
    <mergeCell ref="K36"/>
    <mergeCell ref="L36"/>
    <mergeCell ref="M36"/>
    <mergeCell ref="C36:D36"/>
    <mergeCell ref="E36"/>
    <mergeCell ref="F36"/>
    <mergeCell ref="G36"/>
    <mergeCell ref="H36"/>
    <mergeCell ref="P35"/>
    <mergeCell ref="Q35"/>
    <mergeCell ref="R35"/>
    <mergeCell ref="R37"/>
    <mergeCell ref="S37"/>
    <mergeCell ref="T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O38"/>
    <mergeCell ref="P38"/>
    <mergeCell ref="S36"/>
    <mergeCell ref="T36"/>
    <mergeCell ref="C37:D37"/>
    <mergeCell ref="E37"/>
    <mergeCell ref="F37"/>
    <mergeCell ref="G37"/>
    <mergeCell ref="H37"/>
    <mergeCell ref="I37"/>
    <mergeCell ref="J37"/>
    <mergeCell ref="K37"/>
    <mergeCell ref="L37"/>
    <mergeCell ref="M37"/>
    <mergeCell ref="N37"/>
    <mergeCell ref="O37"/>
    <mergeCell ref="P37"/>
    <mergeCell ref="Q37"/>
    <mergeCell ref="S39"/>
    <mergeCell ref="T39"/>
    <mergeCell ref="Q38"/>
    <mergeCell ref="R38"/>
    <mergeCell ref="S38"/>
    <mergeCell ref="T38"/>
    <mergeCell ref="C39:D39"/>
    <mergeCell ref="E39"/>
    <mergeCell ref="F39"/>
    <mergeCell ref="G39"/>
    <mergeCell ref="H39"/>
    <mergeCell ref="I39"/>
    <mergeCell ref="J39"/>
    <mergeCell ref="K39"/>
    <mergeCell ref="L39"/>
    <mergeCell ref="M39"/>
    <mergeCell ref="N39"/>
    <mergeCell ref="O39"/>
    <mergeCell ref="N40"/>
    <mergeCell ref="O40"/>
    <mergeCell ref="P40"/>
    <mergeCell ref="Q40"/>
    <mergeCell ref="R40"/>
    <mergeCell ref="I40"/>
    <mergeCell ref="J40"/>
    <mergeCell ref="K40"/>
    <mergeCell ref="L40"/>
    <mergeCell ref="M40"/>
    <mergeCell ref="C40:D40"/>
    <mergeCell ref="E40"/>
    <mergeCell ref="F40"/>
    <mergeCell ref="G40"/>
    <mergeCell ref="H40"/>
    <mergeCell ref="P39"/>
    <mergeCell ref="Q39"/>
    <mergeCell ref="R39"/>
    <mergeCell ref="R41"/>
    <mergeCell ref="S41"/>
    <mergeCell ref="T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O42"/>
    <mergeCell ref="P42"/>
    <mergeCell ref="S40"/>
    <mergeCell ref="T40"/>
    <mergeCell ref="C41:D41"/>
    <mergeCell ref="E41"/>
    <mergeCell ref="F41"/>
    <mergeCell ref="G41"/>
    <mergeCell ref="H41"/>
    <mergeCell ref="I41"/>
    <mergeCell ref="J41"/>
    <mergeCell ref="K41"/>
    <mergeCell ref="L41"/>
    <mergeCell ref="M41"/>
    <mergeCell ref="N41"/>
    <mergeCell ref="O41"/>
    <mergeCell ref="P41"/>
    <mergeCell ref="Q41"/>
    <mergeCell ref="S43"/>
    <mergeCell ref="T43"/>
    <mergeCell ref="Q42"/>
    <mergeCell ref="R42"/>
    <mergeCell ref="S42"/>
    <mergeCell ref="T42"/>
    <mergeCell ref="C43:D43"/>
    <mergeCell ref="E43"/>
    <mergeCell ref="F43"/>
    <mergeCell ref="G43"/>
    <mergeCell ref="H43"/>
    <mergeCell ref="I43"/>
    <mergeCell ref="J43"/>
    <mergeCell ref="K43"/>
    <mergeCell ref="L43"/>
    <mergeCell ref="M43"/>
    <mergeCell ref="N43"/>
    <mergeCell ref="O43"/>
    <mergeCell ref="N44"/>
    <mergeCell ref="O44"/>
    <mergeCell ref="P44"/>
    <mergeCell ref="Q44"/>
    <mergeCell ref="R44"/>
    <mergeCell ref="I44"/>
    <mergeCell ref="J44"/>
    <mergeCell ref="K44"/>
    <mergeCell ref="L44"/>
    <mergeCell ref="M44"/>
    <mergeCell ref="C44:D44"/>
    <mergeCell ref="E44"/>
    <mergeCell ref="F44"/>
    <mergeCell ref="G44"/>
    <mergeCell ref="H44"/>
    <mergeCell ref="P43"/>
    <mergeCell ref="Q43"/>
    <mergeCell ref="R43"/>
    <mergeCell ref="R45"/>
    <mergeCell ref="S45"/>
    <mergeCell ref="T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O46"/>
    <mergeCell ref="P46"/>
    <mergeCell ref="S44"/>
    <mergeCell ref="T44"/>
    <mergeCell ref="C45:D45"/>
    <mergeCell ref="E45"/>
    <mergeCell ref="F45"/>
    <mergeCell ref="G45"/>
    <mergeCell ref="H45"/>
    <mergeCell ref="I45"/>
    <mergeCell ref="J45"/>
    <mergeCell ref="K45"/>
    <mergeCell ref="L45"/>
    <mergeCell ref="M45"/>
    <mergeCell ref="N45"/>
    <mergeCell ref="O45"/>
    <mergeCell ref="P45"/>
    <mergeCell ref="Q45"/>
    <mergeCell ref="S47"/>
    <mergeCell ref="T47"/>
    <mergeCell ref="Q46"/>
    <mergeCell ref="R46"/>
    <mergeCell ref="S46"/>
    <mergeCell ref="T46"/>
    <mergeCell ref="C47:D47"/>
    <mergeCell ref="E47"/>
    <mergeCell ref="F47"/>
    <mergeCell ref="G47"/>
    <mergeCell ref="H47"/>
    <mergeCell ref="I47"/>
    <mergeCell ref="J47"/>
    <mergeCell ref="K47"/>
    <mergeCell ref="L47"/>
    <mergeCell ref="M47"/>
    <mergeCell ref="N47"/>
    <mergeCell ref="O47"/>
    <mergeCell ref="N48"/>
    <mergeCell ref="O48"/>
    <mergeCell ref="P48"/>
    <mergeCell ref="Q48"/>
    <mergeCell ref="R48"/>
    <mergeCell ref="I48"/>
    <mergeCell ref="J48"/>
    <mergeCell ref="K48"/>
    <mergeCell ref="L48"/>
    <mergeCell ref="M48"/>
    <mergeCell ref="C48:D48"/>
    <mergeCell ref="E48"/>
    <mergeCell ref="F48"/>
    <mergeCell ref="G48"/>
    <mergeCell ref="H48"/>
    <mergeCell ref="P47"/>
    <mergeCell ref="Q47"/>
    <mergeCell ref="R47"/>
    <mergeCell ref="R49"/>
    <mergeCell ref="S49"/>
    <mergeCell ref="T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O50"/>
    <mergeCell ref="P50"/>
    <mergeCell ref="S48"/>
    <mergeCell ref="T48"/>
    <mergeCell ref="C49:D49"/>
    <mergeCell ref="E49"/>
    <mergeCell ref="F49"/>
    <mergeCell ref="G49"/>
    <mergeCell ref="H49"/>
    <mergeCell ref="I49"/>
    <mergeCell ref="J49"/>
    <mergeCell ref="K49"/>
    <mergeCell ref="L49"/>
    <mergeCell ref="M49"/>
    <mergeCell ref="N49"/>
    <mergeCell ref="O49"/>
    <mergeCell ref="P49"/>
    <mergeCell ref="Q49"/>
    <mergeCell ref="S51"/>
    <mergeCell ref="T51"/>
    <mergeCell ref="Q50"/>
    <mergeCell ref="R50"/>
    <mergeCell ref="S50"/>
    <mergeCell ref="T50"/>
    <mergeCell ref="C51:D51"/>
    <mergeCell ref="E51"/>
    <mergeCell ref="F51"/>
    <mergeCell ref="G51"/>
    <mergeCell ref="H51"/>
    <mergeCell ref="I51"/>
    <mergeCell ref="J51"/>
    <mergeCell ref="K51"/>
    <mergeCell ref="L51"/>
    <mergeCell ref="M51"/>
    <mergeCell ref="N51"/>
    <mergeCell ref="O51"/>
    <mergeCell ref="N52"/>
    <mergeCell ref="O52"/>
    <mergeCell ref="P52"/>
    <mergeCell ref="Q52"/>
    <mergeCell ref="R52"/>
    <mergeCell ref="I52"/>
    <mergeCell ref="J52"/>
    <mergeCell ref="K52"/>
    <mergeCell ref="L52"/>
    <mergeCell ref="M52"/>
    <mergeCell ref="C52:D52"/>
    <mergeCell ref="E52"/>
    <mergeCell ref="F52"/>
    <mergeCell ref="G52"/>
    <mergeCell ref="H52"/>
    <mergeCell ref="P51"/>
    <mergeCell ref="Q51"/>
    <mergeCell ref="R51"/>
    <mergeCell ref="R53"/>
    <mergeCell ref="S53"/>
    <mergeCell ref="T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O54"/>
    <mergeCell ref="P54"/>
    <mergeCell ref="S52"/>
    <mergeCell ref="T52"/>
    <mergeCell ref="C53:D53"/>
    <mergeCell ref="E53"/>
    <mergeCell ref="F53"/>
    <mergeCell ref="G53"/>
    <mergeCell ref="H53"/>
    <mergeCell ref="I53"/>
    <mergeCell ref="J53"/>
    <mergeCell ref="K53"/>
    <mergeCell ref="L53"/>
    <mergeCell ref="M53"/>
    <mergeCell ref="N53"/>
    <mergeCell ref="O53"/>
    <mergeCell ref="P53"/>
    <mergeCell ref="Q53"/>
    <mergeCell ref="S55"/>
    <mergeCell ref="T55"/>
    <mergeCell ref="Q54"/>
    <mergeCell ref="R54"/>
    <mergeCell ref="S54"/>
    <mergeCell ref="T54"/>
    <mergeCell ref="C55:D55"/>
    <mergeCell ref="E55"/>
    <mergeCell ref="F55"/>
    <mergeCell ref="G55"/>
    <mergeCell ref="H55"/>
    <mergeCell ref="I55"/>
    <mergeCell ref="J55"/>
    <mergeCell ref="K55"/>
    <mergeCell ref="L55"/>
    <mergeCell ref="M55"/>
    <mergeCell ref="N55"/>
    <mergeCell ref="O55"/>
    <mergeCell ref="N56"/>
    <mergeCell ref="O56"/>
    <mergeCell ref="P56"/>
    <mergeCell ref="Q56"/>
    <mergeCell ref="R56"/>
    <mergeCell ref="I56"/>
    <mergeCell ref="J56"/>
    <mergeCell ref="K56"/>
    <mergeCell ref="L56"/>
    <mergeCell ref="M56"/>
    <mergeCell ref="C56:D56"/>
    <mergeCell ref="E56"/>
    <mergeCell ref="F56"/>
    <mergeCell ref="G56"/>
    <mergeCell ref="H56"/>
    <mergeCell ref="P55"/>
    <mergeCell ref="Q55"/>
    <mergeCell ref="R55"/>
    <mergeCell ref="R57"/>
    <mergeCell ref="S57"/>
    <mergeCell ref="T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O58"/>
    <mergeCell ref="P58"/>
    <mergeCell ref="S56"/>
    <mergeCell ref="T56"/>
    <mergeCell ref="C57:D57"/>
    <mergeCell ref="E57"/>
    <mergeCell ref="F57"/>
    <mergeCell ref="G57"/>
    <mergeCell ref="H57"/>
    <mergeCell ref="I57"/>
    <mergeCell ref="J57"/>
    <mergeCell ref="K57"/>
    <mergeCell ref="L57"/>
    <mergeCell ref="M57"/>
    <mergeCell ref="N57"/>
    <mergeCell ref="O57"/>
    <mergeCell ref="P57"/>
    <mergeCell ref="Q57"/>
    <mergeCell ref="S59"/>
    <mergeCell ref="T59"/>
    <mergeCell ref="Q58"/>
    <mergeCell ref="R58"/>
    <mergeCell ref="S58"/>
    <mergeCell ref="T58"/>
    <mergeCell ref="C59:D59"/>
    <mergeCell ref="E59"/>
    <mergeCell ref="F59"/>
    <mergeCell ref="G59"/>
    <mergeCell ref="H59"/>
    <mergeCell ref="I59"/>
    <mergeCell ref="J59"/>
    <mergeCell ref="K59"/>
    <mergeCell ref="L59"/>
    <mergeCell ref="M59"/>
    <mergeCell ref="N59"/>
    <mergeCell ref="O59"/>
    <mergeCell ref="N60"/>
    <mergeCell ref="O60"/>
    <mergeCell ref="P60"/>
    <mergeCell ref="Q60"/>
    <mergeCell ref="R60"/>
    <mergeCell ref="I60"/>
    <mergeCell ref="J60"/>
    <mergeCell ref="K60"/>
    <mergeCell ref="L60"/>
    <mergeCell ref="M60"/>
    <mergeCell ref="C60:D60"/>
    <mergeCell ref="E60"/>
    <mergeCell ref="F60"/>
    <mergeCell ref="G60"/>
    <mergeCell ref="H60"/>
    <mergeCell ref="P59"/>
    <mergeCell ref="Q59"/>
    <mergeCell ref="R59"/>
    <mergeCell ref="R61"/>
    <mergeCell ref="S61"/>
    <mergeCell ref="T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O62"/>
    <mergeCell ref="P62"/>
    <mergeCell ref="S60"/>
    <mergeCell ref="T60"/>
    <mergeCell ref="C61:D61"/>
    <mergeCell ref="E61"/>
    <mergeCell ref="F61"/>
    <mergeCell ref="G61"/>
    <mergeCell ref="H61"/>
    <mergeCell ref="I61"/>
    <mergeCell ref="J61"/>
    <mergeCell ref="K61"/>
    <mergeCell ref="L61"/>
    <mergeCell ref="M61"/>
    <mergeCell ref="N61"/>
    <mergeCell ref="O61"/>
    <mergeCell ref="P61"/>
    <mergeCell ref="Q61"/>
    <mergeCell ref="S63"/>
    <mergeCell ref="T63"/>
    <mergeCell ref="Q62"/>
    <mergeCell ref="R62"/>
    <mergeCell ref="S62"/>
    <mergeCell ref="T62"/>
    <mergeCell ref="C63:D63"/>
    <mergeCell ref="E63"/>
    <mergeCell ref="F63"/>
    <mergeCell ref="G63"/>
    <mergeCell ref="H63"/>
    <mergeCell ref="I63"/>
    <mergeCell ref="J63"/>
    <mergeCell ref="K63"/>
    <mergeCell ref="L63"/>
    <mergeCell ref="M63"/>
    <mergeCell ref="N63"/>
    <mergeCell ref="O63"/>
    <mergeCell ref="N64"/>
    <mergeCell ref="O64"/>
    <mergeCell ref="P64"/>
    <mergeCell ref="Q64"/>
    <mergeCell ref="R64"/>
    <mergeCell ref="I64"/>
    <mergeCell ref="J64"/>
    <mergeCell ref="K64"/>
    <mergeCell ref="L64"/>
    <mergeCell ref="M64"/>
    <mergeCell ref="C64:D64"/>
    <mergeCell ref="E64"/>
    <mergeCell ref="F64"/>
    <mergeCell ref="G64"/>
    <mergeCell ref="H64"/>
    <mergeCell ref="P63"/>
    <mergeCell ref="Q63"/>
    <mergeCell ref="R63"/>
    <mergeCell ref="R65"/>
    <mergeCell ref="S65"/>
    <mergeCell ref="T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O66"/>
    <mergeCell ref="P66"/>
    <mergeCell ref="S64"/>
    <mergeCell ref="T64"/>
    <mergeCell ref="C65:D65"/>
    <mergeCell ref="E65"/>
    <mergeCell ref="F65"/>
    <mergeCell ref="G65"/>
    <mergeCell ref="H65"/>
    <mergeCell ref="I65"/>
    <mergeCell ref="J65"/>
    <mergeCell ref="K65"/>
    <mergeCell ref="L65"/>
    <mergeCell ref="M65"/>
    <mergeCell ref="N65"/>
    <mergeCell ref="O65"/>
    <mergeCell ref="P65"/>
    <mergeCell ref="Q65"/>
    <mergeCell ref="S67"/>
    <mergeCell ref="T67"/>
    <mergeCell ref="Q66"/>
    <mergeCell ref="R66"/>
    <mergeCell ref="S66"/>
    <mergeCell ref="T66"/>
    <mergeCell ref="C67:D67"/>
    <mergeCell ref="E67"/>
    <mergeCell ref="F67"/>
    <mergeCell ref="G67"/>
    <mergeCell ref="H67"/>
    <mergeCell ref="I67"/>
    <mergeCell ref="J67"/>
    <mergeCell ref="K67"/>
    <mergeCell ref="L67"/>
    <mergeCell ref="M67"/>
    <mergeCell ref="N67"/>
    <mergeCell ref="O67"/>
    <mergeCell ref="N68"/>
    <mergeCell ref="O68"/>
    <mergeCell ref="P68"/>
    <mergeCell ref="Q68"/>
    <mergeCell ref="R68"/>
    <mergeCell ref="I68"/>
    <mergeCell ref="J68"/>
    <mergeCell ref="K68"/>
    <mergeCell ref="L68"/>
    <mergeCell ref="M68"/>
    <mergeCell ref="C68:D68"/>
    <mergeCell ref="E68"/>
    <mergeCell ref="F68"/>
    <mergeCell ref="G68"/>
    <mergeCell ref="H68"/>
    <mergeCell ref="P67"/>
    <mergeCell ref="Q67"/>
    <mergeCell ref="R67"/>
    <mergeCell ref="R69"/>
    <mergeCell ref="S69"/>
    <mergeCell ref="T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O70"/>
    <mergeCell ref="P70"/>
    <mergeCell ref="S68"/>
    <mergeCell ref="T68"/>
    <mergeCell ref="C69:D69"/>
    <mergeCell ref="E69"/>
    <mergeCell ref="F69"/>
    <mergeCell ref="G69"/>
    <mergeCell ref="H69"/>
    <mergeCell ref="I69"/>
    <mergeCell ref="J69"/>
    <mergeCell ref="K69"/>
    <mergeCell ref="L69"/>
    <mergeCell ref="M69"/>
    <mergeCell ref="N69"/>
    <mergeCell ref="O69"/>
    <mergeCell ref="P69"/>
    <mergeCell ref="Q69"/>
    <mergeCell ref="S71"/>
    <mergeCell ref="T71"/>
    <mergeCell ref="Q70"/>
    <mergeCell ref="R70"/>
    <mergeCell ref="S70"/>
    <mergeCell ref="T70"/>
    <mergeCell ref="C71:D71"/>
    <mergeCell ref="E71"/>
    <mergeCell ref="F71"/>
    <mergeCell ref="G71"/>
    <mergeCell ref="H71"/>
    <mergeCell ref="I71"/>
    <mergeCell ref="J71"/>
    <mergeCell ref="K71"/>
    <mergeCell ref="L71"/>
    <mergeCell ref="M71"/>
    <mergeCell ref="N71"/>
    <mergeCell ref="O71"/>
    <mergeCell ref="N72"/>
    <mergeCell ref="O72"/>
    <mergeCell ref="P72"/>
    <mergeCell ref="Q72"/>
    <mergeCell ref="R72"/>
    <mergeCell ref="I72"/>
    <mergeCell ref="J72"/>
    <mergeCell ref="K72"/>
    <mergeCell ref="L72"/>
    <mergeCell ref="M72"/>
    <mergeCell ref="C72:D72"/>
    <mergeCell ref="E72"/>
    <mergeCell ref="F72"/>
    <mergeCell ref="G72"/>
    <mergeCell ref="H72"/>
    <mergeCell ref="P71"/>
    <mergeCell ref="Q71"/>
    <mergeCell ref="R71"/>
    <mergeCell ref="R73"/>
    <mergeCell ref="S73"/>
    <mergeCell ref="T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O74"/>
    <mergeCell ref="P74"/>
    <mergeCell ref="S72"/>
    <mergeCell ref="T72"/>
    <mergeCell ref="C73:D73"/>
    <mergeCell ref="E73"/>
    <mergeCell ref="F73"/>
    <mergeCell ref="G73"/>
    <mergeCell ref="H73"/>
    <mergeCell ref="I73"/>
    <mergeCell ref="J73"/>
    <mergeCell ref="K73"/>
    <mergeCell ref="L73"/>
    <mergeCell ref="M73"/>
    <mergeCell ref="N73"/>
    <mergeCell ref="O73"/>
    <mergeCell ref="P73"/>
    <mergeCell ref="Q73"/>
    <mergeCell ref="S75"/>
    <mergeCell ref="T75"/>
    <mergeCell ref="Q74"/>
    <mergeCell ref="R74"/>
    <mergeCell ref="S74"/>
    <mergeCell ref="T74"/>
    <mergeCell ref="C75:D75"/>
    <mergeCell ref="E75"/>
    <mergeCell ref="F75"/>
    <mergeCell ref="G75"/>
    <mergeCell ref="H75"/>
    <mergeCell ref="I75"/>
    <mergeCell ref="J75"/>
    <mergeCell ref="K75"/>
    <mergeCell ref="L75"/>
    <mergeCell ref="M75"/>
    <mergeCell ref="N75"/>
    <mergeCell ref="O75"/>
    <mergeCell ref="N76"/>
    <mergeCell ref="O76"/>
    <mergeCell ref="P76"/>
    <mergeCell ref="Q76"/>
    <mergeCell ref="R76"/>
    <mergeCell ref="I76"/>
    <mergeCell ref="J76"/>
    <mergeCell ref="K76"/>
    <mergeCell ref="L76"/>
    <mergeCell ref="M76"/>
    <mergeCell ref="C76:D76"/>
    <mergeCell ref="E76"/>
    <mergeCell ref="F76"/>
    <mergeCell ref="G76"/>
    <mergeCell ref="H76"/>
    <mergeCell ref="P75"/>
    <mergeCell ref="Q75"/>
    <mergeCell ref="R75"/>
    <mergeCell ref="R77"/>
    <mergeCell ref="S77"/>
    <mergeCell ref="T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O78"/>
    <mergeCell ref="P78"/>
    <mergeCell ref="S76"/>
    <mergeCell ref="T76"/>
    <mergeCell ref="C77:D77"/>
    <mergeCell ref="E77"/>
    <mergeCell ref="F77"/>
    <mergeCell ref="G77"/>
    <mergeCell ref="H77"/>
    <mergeCell ref="I77"/>
    <mergeCell ref="J77"/>
    <mergeCell ref="K77"/>
    <mergeCell ref="L77"/>
    <mergeCell ref="M77"/>
    <mergeCell ref="N77"/>
    <mergeCell ref="O77"/>
    <mergeCell ref="P77"/>
    <mergeCell ref="Q77"/>
    <mergeCell ref="S79"/>
    <mergeCell ref="T79"/>
    <mergeCell ref="Q78"/>
    <mergeCell ref="R78"/>
    <mergeCell ref="S78"/>
    <mergeCell ref="T78"/>
    <mergeCell ref="C79:D79"/>
    <mergeCell ref="E79"/>
    <mergeCell ref="F79"/>
    <mergeCell ref="G79"/>
    <mergeCell ref="H79"/>
    <mergeCell ref="I79"/>
    <mergeCell ref="J79"/>
    <mergeCell ref="K79"/>
    <mergeCell ref="L79"/>
    <mergeCell ref="M79"/>
    <mergeCell ref="N79"/>
    <mergeCell ref="O79"/>
    <mergeCell ref="N80"/>
    <mergeCell ref="O80"/>
    <mergeCell ref="P80"/>
    <mergeCell ref="Q80"/>
    <mergeCell ref="R80"/>
    <mergeCell ref="I80"/>
    <mergeCell ref="J80"/>
    <mergeCell ref="K80"/>
    <mergeCell ref="L80"/>
    <mergeCell ref="M80"/>
    <mergeCell ref="C80:D80"/>
    <mergeCell ref="E80"/>
    <mergeCell ref="F80"/>
    <mergeCell ref="G80"/>
    <mergeCell ref="H80"/>
    <mergeCell ref="P79"/>
    <mergeCell ref="Q79"/>
    <mergeCell ref="R79"/>
    <mergeCell ref="R81"/>
    <mergeCell ref="S81"/>
    <mergeCell ref="T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O82"/>
    <mergeCell ref="P82"/>
    <mergeCell ref="S80"/>
    <mergeCell ref="T80"/>
    <mergeCell ref="C81:D81"/>
    <mergeCell ref="E81"/>
    <mergeCell ref="F81"/>
    <mergeCell ref="G81"/>
    <mergeCell ref="H81"/>
    <mergeCell ref="I81"/>
    <mergeCell ref="J81"/>
    <mergeCell ref="K81"/>
    <mergeCell ref="L81"/>
    <mergeCell ref="M81"/>
    <mergeCell ref="N81"/>
    <mergeCell ref="O81"/>
    <mergeCell ref="P81"/>
    <mergeCell ref="Q81"/>
    <mergeCell ref="S83"/>
    <mergeCell ref="T83"/>
    <mergeCell ref="Q82"/>
    <mergeCell ref="R82"/>
    <mergeCell ref="S82"/>
    <mergeCell ref="T82"/>
    <mergeCell ref="C83:D83"/>
    <mergeCell ref="E83"/>
    <mergeCell ref="F83"/>
    <mergeCell ref="G83"/>
    <mergeCell ref="H83"/>
    <mergeCell ref="I83"/>
    <mergeCell ref="J83"/>
    <mergeCell ref="K83"/>
    <mergeCell ref="L83"/>
    <mergeCell ref="M83"/>
    <mergeCell ref="N83"/>
    <mergeCell ref="O83"/>
    <mergeCell ref="N84"/>
    <mergeCell ref="O84"/>
    <mergeCell ref="P84"/>
    <mergeCell ref="Q84"/>
    <mergeCell ref="R84"/>
    <mergeCell ref="I84"/>
    <mergeCell ref="J84"/>
    <mergeCell ref="K84"/>
    <mergeCell ref="L84"/>
    <mergeCell ref="M84"/>
    <mergeCell ref="C84:D84"/>
    <mergeCell ref="E84"/>
    <mergeCell ref="F84"/>
    <mergeCell ref="G84"/>
    <mergeCell ref="H84"/>
    <mergeCell ref="P83"/>
    <mergeCell ref="Q83"/>
    <mergeCell ref="R83"/>
    <mergeCell ref="R85"/>
    <mergeCell ref="S85"/>
    <mergeCell ref="T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O86"/>
    <mergeCell ref="P86"/>
    <mergeCell ref="S84"/>
    <mergeCell ref="T84"/>
    <mergeCell ref="C85:D85"/>
    <mergeCell ref="E85"/>
    <mergeCell ref="F85"/>
    <mergeCell ref="G85"/>
    <mergeCell ref="H85"/>
    <mergeCell ref="I85"/>
    <mergeCell ref="J85"/>
    <mergeCell ref="K85"/>
    <mergeCell ref="L85"/>
    <mergeCell ref="M85"/>
    <mergeCell ref="N85"/>
    <mergeCell ref="O85"/>
    <mergeCell ref="P85"/>
    <mergeCell ref="Q85"/>
    <mergeCell ref="S87"/>
    <mergeCell ref="T87"/>
    <mergeCell ref="Q86"/>
    <mergeCell ref="R86"/>
    <mergeCell ref="S86"/>
    <mergeCell ref="T86"/>
    <mergeCell ref="C87:D87"/>
    <mergeCell ref="E87"/>
    <mergeCell ref="F87"/>
    <mergeCell ref="G87"/>
    <mergeCell ref="H87"/>
    <mergeCell ref="I87"/>
    <mergeCell ref="J87"/>
    <mergeCell ref="K87"/>
    <mergeCell ref="L87"/>
    <mergeCell ref="M87"/>
    <mergeCell ref="N87"/>
    <mergeCell ref="O87"/>
    <mergeCell ref="N88"/>
    <mergeCell ref="O88"/>
    <mergeCell ref="P88"/>
    <mergeCell ref="Q88"/>
    <mergeCell ref="R88"/>
    <mergeCell ref="I88"/>
    <mergeCell ref="J88"/>
    <mergeCell ref="K88"/>
    <mergeCell ref="L88"/>
    <mergeCell ref="M88"/>
    <mergeCell ref="C88:D88"/>
    <mergeCell ref="E88"/>
    <mergeCell ref="F88"/>
    <mergeCell ref="G88"/>
    <mergeCell ref="H88"/>
    <mergeCell ref="P87"/>
    <mergeCell ref="Q87"/>
    <mergeCell ref="R87"/>
    <mergeCell ref="R89"/>
    <mergeCell ref="S89"/>
    <mergeCell ref="T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O90"/>
    <mergeCell ref="P90"/>
    <mergeCell ref="S88"/>
    <mergeCell ref="T88"/>
    <mergeCell ref="C89:D89"/>
    <mergeCell ref="E89"/>
    <mergeCell ref="F89"/>
    <mergeCell ref="G89"/>
    <mergeCell ref="H89"/>
    <mergeCell ref="I89"/>
    <mergeCell ref="J89"/>
    <mergeCell ref="K89"/>
    <mergeCell ref="L89"/>
    <mergeCell ref="M89"/>
    <mergeCell ref="N89"/>
    <mergeCell ref="O89"/>
    <mergeCell ref="P89"/>
    <mergeCell ref="Q89"/>
    <mergeCell ref="S91"/>
    <mergeCell ref="T91"/>
    <mergeCell ref="Q90"/>
    <mergeCell ref="R90"/>
    <mergeCell ref="S90"/>
    <mergeCell ref="T90"/>
    <mergeCell ref="C91:D91"/>
    <mergeCell ref="E91"/>
    <mergeCell ref="F91"/>
    <mergeCell ref="G91"/>
    <mergeCell ref="H91"/>
    <mergeCell ref="I91"/>
    <mergeCell ref="J91"/>
    <mergeCell ref="K91"/>
    <mergeCell ref="L91"/>
    <mergeCell ref="M91"/>
    <mergeCell ref="N91"/>
    <mergeCell ref="O91"/>
    <mergeCell ref="N92"/>
    <mergeCell ref="O92"/>
    <mergeCell ref="P92"/>
    <mergeCell ref="Q92"/>
    <mergeCell ref="R92"/>
    <mergeCell ref="I92"/>
    <mergeCell ref="J92"/>
    <mergeCell ref="K92"/>
    <mergeCell ref="L92"/>
    <mergeCell ref="M92"/>
    <mergeCell ref="C92:D92"/>
    <mergeCell ref="E92"/>
    <mergeCell ref="F92"/>
    <mergeCell ref="G92"/>
    <mergeCell ref="H92"/>
    <mergeCell ref="P91"/>
    <mergeCell ref="Q91"/>
    <mergeCell ref="R91"/>
    <mergeCell ref="R93"/>
    <mergeCell ref="S93"/>
    <mergeCell ref="T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O94"/>
    <mergeCell ref="P94"/>
    <mergeCell ref="S92"/>
    <mergeCell ref="T92"/>
    <mergeCell ref="C93:D93"/>
    <mergeCell ref="E93"/>
    <mergeCell ref="F93"/>
    <mergeCell ref="G93"/>
    <mergeCell ref="H93"/>
    <mergeCell ref="I93"/>
    <mergeCell ref="J93"/>
    <mergeCell ref="K93"/>
    <mergeCell ref="L93"/>
    <mergeCell ref="M93"/>
    <mergeCell ref="N93"/>
    <mergeCell ref="O93"/>
    <mergeCell ref="P93"/>
    <mergeCell ref="Q93"/>
    <mergeCell ref="S95"/>
    <mergeCell ref="T95"/>
    <mergeCell ref="Q94"/>
    <mergeCell ref="R94"/>
    <mergeCell ref="S94"/>
    <mergeCell ref="T94"/>
    <mergeCell ref="C95:D95"/>
    <mergeCell ref="E95"/>
    <mergeCell ref="F95"/>
    <mergeCell ref="G95"/>
    <mergeCell ref="H95"/>
    <mergeCell ref="I95"/>
    <mergeCell ref="J95"/>
    <mergeCell ref="K95"/>
    <mergeCell ref="L95"/>
    <mergeCell ref="M95"/>
    <mergeCell ref="N95"/>
    <mergeCell ref="O95"/>
    <mergeCell ref="N96"/>
    <mergeCell ref="O96"/>
    <mergeCell ref="P96"/>
    <mergeCell ref="Q96"/>
    <mergeCell ref="R96"/>
    <mergeCell ref="I96"/>
    <mergeCell ref="J96"/>
    <mergeCell ref="K96"/>
    <mergeCell ref="L96"/>
    <mergeCell ref="M96"/>
    <mergeCell ref="C96:D96"/>
    <mergeCell ref="E96"/>
    <mergeCell ref="F96"/>
    <mergeCell ref="G96"/>
    <mergeCell ref="H96"/>
    <mergeCell ref="P95"/>
    <mergeCell ref="Q95"/>
    <mergeCell ref="R95"/>
    <mergeCell ref="R97"/>
    <mergeCell ref="S97"/>
    <mergeCell ref="T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O98"/>
    <mergeCell ref="P98"/>
    <mergeCell ref="S96"/>
    <mergeCell ref="T96"/>
    <mergeCell ref="C97:D97"/>
    <mergeCell ref="E97"/>
    <mergeCell ref="F97"/>
    <mergeCell ref="G97"/>
    <mergeCell ref="H97"/>
    <mergeCell ref="I97"/>
    <mergeCell ref="J97"/>
    <mergeCell ref="K97"/>
    <mergeCell ref="L97"/>
    <mergeCell ref="M97"/>
    <mergeCell ref="N97"/>
    <mergeCell ref="O97"/>
    <mergeCell ref="P97"/>
    <mergeCell ref="Q97"/>
    <mergeCell ref="S99"/>
    <mergeCell ref="T99"/>
    <mergeCell ref="Q98"/>
    <mergeCell ref="R98"/>
    <mergeCell ref="S98"/>
    <mergeCell ref="T98"/>
    <mergeCell ref="C99:D99"/>
    <mergeCell ref="E99"/>
    <mergeCell ref="F99"/>
    <mergeCell ref="G99"/>
    <mergeCell ref="H99"/>
    <mergeCell ref="I99"/>
    <mergeCell ref="J99"/>
    <mergeCell ref="K99"/>
    <mergeCell ref="L99"/>
    <mergeCell ref="M99"/>
    <mergeCell ref="N99"/>
    <mergeCell ref="O99"/>
    <mergeCell ref="N100"/>
    <mergeCell ref="O100"/>
    <mergeCell ref="P100"/>
    <mergeCell ref="Q100"/>
    <mergeCell ref="R100"/>
    <mergeCell ref="I100"/>
    <mergeCell ref="J100"/>
    <mergeCell ref="K100"/>
    <mergeCell ref="L100"/>
    <mergeCell ref="M100"/>
    <mergeCell ref="C100:D100"/>
    <mergeCell ref="E100"/>
    <mergeCell ref="F100"/>
    <mergeCell ref="G100"/>
    <mergeCell ref="H100"/>
    <mergeCell ref="P99"/>
    <mergeCell ref="Q99"/>
    <mergeCell ref="R99"/>
    <mergeCell ref="R101"/>
    <mergeCell ref="S101"/>
    <mergeCell ref="T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O102"/>
    <mergeCell ref="P102"/>
    <mergeCell ref="S100"/>
    <mergeCell ref="T100"/>
    <mergeCell ref="C101:D101"/>
    <mergeCell ref="E101"/>
    <mergeCell ref="F101"/>
    <mergeCell ref="G101"/>
    <mergeCell ref="H101"/>
    <mergeCell ref="I101"/>
    <mergeCell ref="J101"/>
    <mergeCell ref="K101"/>
    <mergeCell ref="L101"/>
    <mergeCell ref="M101"/>
    <mergeCell ref="N101"/>
    <mergeCell ref="O101"/>
    <mergeCell ref="P101"/>
    <mergeCell ref="Q101"/>
    <mergeCell ref="S103"/>
    <mergeCell ref="T103"/>
    <mergeCell ref="Q102"/>
    <mergeCell ref="R102"/>
    <mergeCell ref="S102"/>
    <mergeCell ref="T102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M103"/>
    <mergeCell ref="N103"/>
    <mergeCell ref="O103"/>
    <mergeCell ref="N104"/>
    <mergeCell ref="O104"/>
    <mergeCell ref="P104"/>
    <mergeCell ref="Q104"/>
    <mergeCell ref="R104"/>
    <mergeCell ref="I104"/>
    <mergeCell ref="J104"/>
    <mergeCell ref="K104"/>
    <mergeCell ref="L104"/>
    <mergeCell ref="M104"/>
    <mergeCell ref="C104:D104"/>
    <mergeCell ref="E104"/>
    <mergeCell ref="F104"/>
    <mergeCell ref="G104"/>
    <mergeCell ref="H104"/>
    <mergeCell ref="P103"/>
    <mergeCell ref="Q103"/>
    <mergeCell ref="R103"/>
    <mergeCell ref="R105"/>
    <mergeCell ref="S105"/>
    <mergeCell ref="T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O106"/>
    <mergeCell ref="P106"/>
    <mergeCell ref="S104"/>
    <mergeCell ref="T104"/>
    <mergeCell ref="C105:D105"/>
    <mergeCell ref="E105"/>
    <mergeCell ref="F105"/>
    <mergeCell ref="G105"/>
    <mergeCell ref="H105"/>
    <mergeCell ref="I105"/>
    <mergeCell ref="J105"/>
    <mergeCell ref="K105"/>
    <mergeCell ref="L105"/>
    <mergeCell ref="M105"/>
    <mergeCell ref="N105"/>
    <mergeCell ref="O105"/>
    <mergeCell ref="P105"/>
    <mergeCell ref="Q105"/>
    <mergeCell ref="S107"/>
    <mergeCell ref="T107"/>
    <mergeCell ref="Q106"/>
    <mergeCell ref="R106"/>
    <mergeCell ref="S106"/>
    <mergeCell ref="T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M107"/>
    <mergeCell ref="N107"/>
    <mergeCell ref="O107"/>
    <mergeCell ref="N108"/>
    <mergeCell ref="O108"/>
    <mergeCell ref="P108"/>
    <mergeCell ref="Q108"/>
    <mergeCell ref="R108"/>
    <mergeCell ref="I108"/>
    <mergeCell ref="J108"/>
    <mergeCell ref="K108"/>
    <mergeCell ref="L108"/>
    <mergeCell ref="M108"/>
    <mergeCell ref="C108:D108"/>
    <mergeCell ref="E108"/>
    <mergeCell ref="F108"/>
    <mergeCell ref="G108"/>
    <mergeCell ref="H108"/>
    <mergeCell ref="P107"/>
    <mergeCell ref="Q107"/>
    <mergeCell ref="R107"/>
    <mergeCell ref="R109"/>
    <mergeCell ref="S109"/>
    <mergeCell ref="T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O110"/>
    <mergeCell ref="P110"/>
    <mergeCell ref="S108"/>
    <mergeCell ref="T108"/>
    <mergeCell ref="C109:D109"/>
    <mergeCell ref="E109"/>
    <mergeCell ref="F109"/>
    <mergeCell ref="G109"/>
    <mergeCell ref="H109"/>
    <mergeCell ref="I109"/>
    <mergeCell ref="J109"/>
    <mergeCell ref="K109"/>
    <mergeCell ref="L109"/>
    <mergeCell ref="M109"/>
    <mergeCell ref="N109"/>
    <mergeCell ref="O109"/>
    <mergeCell ref="P109"/>
    <mergeCell ref="Q109"/>
    <mergeCell ref="S111"/>
    <mergeCell ref="T111"/>
    <mergeCell ref="Q110"/>
    <mergeCell ref="R110"/>
    <mergeCell ref="S110"/>
    <mergeCell ref="T110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M111"/>
    <mergeCell ref="N111"/>
    <mergeCell ref="O111"/>
    <mergeCell ref="N112"/>
    <mergeCell ref="O112"/>
    <mergeCell ref="P112"/>
    <mergeCell ref="Q112"/>
    <mergeCell ref="R112"/>
    <mergeCell ref="I112"/>
    <mergeCell ref="J112"/>
    <mergeCell ref="K112"/>
    <mergeCell ref="L112"/>
    <mergeCell ref="M112"/>
    <mergeCell ref="C112:D112"/>
    <mergeCell ref="E112"/>
    <mergeCell ref="F112"/>
    <mergeCell ref="G112"/>
    <mergeCell ref="H112"/>
    <mergeCell ref="P111"/>
    <mergeCell ref="Q111"/>
    <mergeCell ref="R111"/>
    <mergeCell ref="R113"/>
    <mergeCell ref="S113"/>
    <mergeCell ref="T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O114"/>
    <mergeCell ref="P114"/>
    <mergeCell ref="S112"/>
    <mergeCell ref="T112"/>
    <mergeCell ref="C113:D113"/>
    <mergeCell ref="E113"/>
    <mergeCell ref="F113"/>
    <mergeCell ref="G113"/>
    <mergeCell ref="H113"/>
    <mergeCell ref="I113"/>
    <mergeCell ref="J113"/>
    <mergeCell ref="K113"/>
    <mergeCell ref="L113"/>
    <mergeCell ref="M113"/>
    <mergeCell ref="N113"/>
    <mergeCell ref="O113"/>
    <mergeCell ref="P113"/>
    <mergeCell ref="Q113"/>
    <mergeCell ref="P115"/>
    <mergeCell ref="Q115"/>
    <mergeCell ref="R115"/>
    <mergeCell ref="S115"/>
    <mergeCell ref="T115"/>
    <mergeCell ref="Q114"/>
    <mergeCell ref="R114"/>
    <mergeCell ref="S114"/>
    <mergeCell ref="T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M115"/>
    <mergeCell ref="N115"/>
    <mergeCell ref="O115"/>
  </mergeCells>
  <dataValidations count="160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O16">
      <formula1>-1000000000000000000</formula1>
      <formula2>1000000000000000000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O32">
      <formula1>-1000000000000000000</formula1>
      <formula2>1000000000000000000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O33">
      <formula1>-1000000000000000000</formula1>
      <formula2>1000000000000000000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O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O48">
      <formula1>-1000000000000000000</formula1>
      <formula2>1000000000000000000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O49">
      <formula1>-1000000000000000000</formula1>
      <formula2>1000000000000000000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O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O63">
      <formula1>-1000000000000000000</formula1>
      <formula2>1000000000000000000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O70">
      <formula1>-1000000000000000000</formula1>
      <formula2>1000000000000000000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O71">
      <formula1>-1000000000000000000</formula1>
      <formula2>1000000000000000000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E72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O72">
      <formula1>-1000000000000000000</formula1>
      <formula2>1000000000000000000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O73">
      <formula1>-1000000000000000000</formula1>
      <formula2>1000000000000000000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E74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O74">
      <formula1>-1000000000000000000</formula1>
      <formula2>1000000000000000000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O75">
      <formula1>-1000000000000000000</formula1>
      <formula2>1000000000000000000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O76">
      <formula1>-1000000000000000000</formula1>
      <formula2>1000000000000000000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O77">
      <formula1>-1000000000000000000</formula1>
      <formula2>1000000000000000000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O78">
      <formula1>-1000000000000000000</formula1>
      <formula2>1000000000000000000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O79">
      <formula1>-1000000000000000000</formula1>
      <formula2>1000000000000000000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E80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O80">
      <formula1>-1000000000000000000</formula1>
      <formula2>1000000000000000000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O81">
      <formula1>-1000000000000000000</formula1>
      <formula2>1000000000000000000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E82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O82">
      <formula1>-1000000000000000000</formula1>
      <formula2>1000000000000000000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O83">
      <formula1>-1000000000000000000</formula1>
      <formula2>1000000000000000000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O84">
      <formula1>-1000000000000000000</formula1>
      <formula2>1000000000000000000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O85">
      <formula1>-1000000000000000000</formula1>
      <formula2>1000000000000000000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O86">
      <formula1>-1000000000000000000</formula1>
      <formula2>1000000000000000000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O87">
      <formula1>-1000000000000000000</formula1>
      <formula2>1000000000000000000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E88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O88">
      <formula1>-1000000000000000000</formula1>
      <formula2>1000000000000000000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O89">
      <formula1>-1000000000000000000</formula1>
      <formula2>1000000000000000000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E90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O90">
      <formula1>-1000000000000000000</formula1>
      <formula2>1000000000000000000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O91">
      <formula1>-1000000000000000000</formula1>
      <formula2>1000000000000000000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O92">
      <formula1>-1000000000000000000</formula1>
      <formula2>1000000000000000000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O93">
      <formula1>-1000000000000000000</formula1>
      <formula2>1000000000000000000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O94">
      <formula1>-1000000000000000000</formula1>
      <formula2>1000000000000000000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O95">
      <formula1>-1000000000000000000</formula1>
      <formula2>1000000000000000000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E96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O96">
      <formula1>-1000000000000000000</formula1>
      <formula2>1000000000000000000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O97">
      <formula1>-1000000000000000000</formula1>
      <formula2>1000000000000000000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O98">
      <formula1>-1000000000000000000</formula1>
      <formula2>1000000000000000000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O99">
      <formula1>-1000000000000000000</formula1>
      <formula2>1000000000000000000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E100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O100">
      <formula1>-1000000000000000000</formula1>
      <formula2>1000000000000000000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E101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O101">
      <formula1>-1000000000000000000</formula1>
      <formula2>1000000000000000000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E102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O102">
      <formula1>-1000000000000000000</formula1>
      <formula2>1000000000000000000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E103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O103">
      <formula1>-1000000000000000000</formula1>
      <formula2>1000000000000000000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E104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O104">
      <formula1>-1000000000000000000</formula1>
      <formula2>1000000000000000000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E105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O105">
      <formula1>-1000000000000000000</formula1>
      <formula2>1000000000000000000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E106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O106">
      <formula1>-1000000000000000000</formula1>
      <formula2>1000000000000000000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E107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O107">
      <formula1>-1000000000000000000</formula1>
      <formula2>1000000000000000000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E108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O108">
      <formula1>-1000000000000000000</formula1>
      <formula2>1000000000000000000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E109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O109">
      <formula1>-1000000000000000000</formula1>
      <formula2>1000000000000000000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E110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O110">
      <formula1>-1000000000000000000</formula1>
      <formula2>1000000000000000000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E111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O111">
      <formula1>-1000000000000000000</formula1>
      <formula2>1000000000000000000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E112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O112">
      <formula1>-1000000000000000000</formula1>
      <formula2>1000000000000000000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E113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O113">
      <formula1>-1000000000000000000</formula1>
      <formula2>1000000000000000000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E114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O114">
      <formula1>-1000000000000000000</formula1>
      <formula2>1000000000000000000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E115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  <dataValidation type="decimal" showErrorMessage="1" errorTitle="Kesalahan Jenis Data" error="Data yang dimasukkan harus berupa Angka!" sqref="O115">
      <formula1>-1000000000000000000</formula1>
      <formula2>1000000000000000000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>
      <c r="B2" s="9" t="s">
        <v>725</v>
      </c>
      <c r="C2" s="2"/>
      <c r="D2" s="2"/>
      <c r="E2" s="2"/>
      <c r="F2" s="2"/>
    </row>
    <row r="3" spans="2:6" hidden="1">
      <c r="B3" s="9" t="s">
        <v>8</v>
      </c>
      <c r="C3" s="2"/>
      <c r="D3" s="2"/>
      <c r="E3" s="2"/>
      <c r="F3" s="2"/>
    </row>
    <row r="4" spans="2:6" hidden="1">
      <c r="B4" s="2"/>
      <c r="C4" s="2"/>
      <c r="D4" s="2"/>
      <c r="E4" s="2"/>
      <c r="F4" s="2"/>
    </row>
    <row r="5" spans="2:6" hidden="1">
      <c r="B5" s="2"/>
      <c r="C5" s="2"/>
      <c r="D5" s="2"/>
      <c r="E5" s="2"/>
      <c r="F5" s="2"/>
    </row>
    <row r="6" spans="2:6" hidden="1">
      <c r="B6" s="2"/>
      <c r="C6" s="2"/>
      <c r="D6" s="2"/>
      <c r="E6" s="2"/>
      <c r="F6" s="2"/>
    </row>
    <row r="7" spans="2:6" ht="17.25">
      <c r="B7" s="2"/>
      <c r="C7" s="45" t="str">
        <f>UPPER('Data Umum'!D7)</f>
        <v/>
      </c>
      <c r="D7" s="45"/>
      <c r="E7" s="45"/>
      <c r="F7" s="2"/>
    </row>
    <row r="8" spans="2:6">
      <c r="B8" s="2"/>
      <c r="C8" s="2"/>
      <c r="D8" s="2"/>
      <c r="E8" s="2"/>
      <c r="F8" s="2"/>
    </row>
    <row r="9" spans="2:6">
      <c r="B9" s="2"/>
      <c r="C9" s="46" t="s">
        <v>726</v>
      </c>
      <c r="D9" s="46"/>
      <c r="E9" s="46"/>
      <c r="F9" s="2"/>
    </row>
    <row r="10" spans="2:6">
      <c r="B10" s="2"/>
      <c r="C10" s="46" t="s">
        <v>727</v>
      </c>
      <c r="D10" s="46"/>
      <c r="E10" s="46"/>
      <c r="F10" s="2"/>
    </row>
    <row r="11" spans="2:6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2"/>
    </row>
    <row r="12" spans="2:6" hidden="1">
      <c r="B12" s="2"/>
      <c r="C12" s="2"/>
      <c r="D12" s="2"/>
      <c r="E12" s="2"/>
      <c r="F12" s="2"/>
    </row>
    <row r="13" spans="2:6">
      <c r="B13" s="2"/>
      <c r="C13" s="48"/>
      <c r="D13" s="48"/>
      <c r="E13" s="48"/>
      <c r="F13" s="2"/>
    </row>
    <row r="14" spans="2:6">
      <c r="B14" s="2"/>
      <c r="C14" s="40" t="s">
        <v>236</v>
      </c>
      <c r="D14" s="38"/>
      <c r="E14" s="43" t="str">
        <f>"Jumlah"</f>
        <v>Jumlah</v>
      </c>
      <c r="F14" s="2"/>
    </row>
    <row r="15" spans="2:6">
      <c r="B15" s="2"/>
      <c r="C15" s="41"/>
      <c r="D15" s="42"/>
      <c r="E15" s="44"/>
      <c r="F15" s="2"/>
    </row>
    <row r="16" spans="2:6">
      <c r="B16" s="2"/>
      <c r="C16" s="37" t="s">
        <v>728</v>
      </c>
      <c r="D16" s="38"/>
      <c r="E16" s="20">
        <f>IFERROR(E17, 0)+IFERROR(E18, 0)+IFERROR(E21, 0)+IFERROR(E22, 0)+IFERROR(E25, 0)+IFERROR(E26, 0)</f>
        <v>0</v>
      </c>
      <c r="F16" s="2"/>
    </row>
    <row r="17" spans="2:6">
      <c r="B17" s="2"/>
      <c r="C17" s="35" t="s">
        <v>729</v>
      </c>
      <c r="D17" s="36"/>
      <c r="E17" s="51">
        <v>0</v>
      </c>
      <c r="F17" s="2"/>
    </row>
    <row r="18" spans="2:6">
      <c r="B18" s="2"/>
      <c r="C18" s="35" t="s">
        <v>730</v>
      </c>
      <c r="D18" s="36"/>
      <c r="E18" s="20">
        <f>IFERROR(E19, 0)+IFERROR(E20, 0)</f>
        <v>0</v>
      </c>
      <c r="F18" s="2"/>
    </row>
    <row r="19" spans="2:6">
      <c r="B19" s="2"/>
      <c r="C19" s="32" t="s">
        <v>731</v>
      </c>
      <c r="D19" s="33"/>
      <c r="E19" s="51">
        <v>0</v>
      </c>
      <c r="F19" s="2"/>
    </row>
    <row r="20" spans="2:6">
      <c r="B20" s="2"/>
      <c r="C20" s="32" t="s">
        <v>732</v>
      </c>
      <c r="D20" s="33"/>
      <c r="E20" s="51">
        <v>0</v>
      </c>
      <c r="F20" s="2"/>
    </row>
    <row r="21" spans="2:6">
      <c r="B21" s="2"/>
      <c r="C21" s="35" t="s">
        <v>733</v>
      </c>
      <c r="D21" s="36"/>
      <c r="E21" s="18">
        <f>E19+E20</f>
        <v>0</v>
      </c>
      <c r="F21" s="2"/>
    </row>
    <row r="22" spans="2:6">
      <c r="B22" s="2"/>
      <c r="C22" s="35" t="s">
        <v>734</v>
      </c>
      <c r="D22" s="36"/>
      <c r="E22" s="20">
        <f>IFERROR(E23, 0)+IFERROR(E24, 0)</f>
        <v>0</v>
      </c>
      <c r="F22" s="2"/>
    </row>
    <row r="23" spans="2:6">
      <c r="B23" s="2"/>
      <c r="C23" s="32" t="s">
        <v>731</v>
      </c>
      <c r="D23" s="33"/>
      <c r="E23" s="51">
        <v>0</v>
      </c>
      <c r="F23" s="2"/>
    </row>
    <row r="24" spans="2:6">
      <c r="B24" s="2"/>
      <c r="C24" s="32" t="s">
        <v>732</v>
      </c>
      <c r="D24" s="33"/>
      <c r="E24" s="51">
        <v>0</v>
      </c>
      <c r="F24" s="2"/>
    </row>
    <row r="25" spans="2:6">
      <c r="B25" s="2"/>
      <c r="C25" s="35" t="s">
        <v>735</v>
      </c>
      <c r="D25" s="36"/>
      <c r="E25" s="18">
        <f>E23+E24</f>
        <v>0</v>
      </c>
      <c r="F25" s="2"/>
    </row>
    <row r="26" spans="2:6">
      <c r="B26" s="2"/>
      <c r="C26" s="35" t="s">
        <v>736</v>
      </c>
      <c r="D26" s="36"/>
      <c r="E26" s="18">
        <f>(E17+E21)-E25</f>
        <v>0</v>
      </c>
      <c r="F26" s="2"/>
    </row>
    <row r="27" spans="2:6">
      <c r="B27" s="2"/>
      <c r="C27" s="37" t="s">
        <v>737</v>
      </c>
      <c r="D27" s="38"/>
      <c r="E27" s="20">
        <f>IFERROR(E28, 0)+IFERROR(E29, 0)+IFERROR(E30, 0)+IFERROR(E31, 0)+IFERROR(E32, 0)+IFERROR(E33, 0)+IFERROR(E34, 0)+IFERROR(E35, 0)+IFERROR(E36, 0)</f>
        <v>0</v>
      </c>
      <c r="F27" s="2"/>
    </row>
    <row r="28" spans="2:6">
      <c r="B28" s="2"/>
      <c r="C28" s="35" t="s">
        <v>738</v>
      </c>
      <c r="D28" s="36"/>
      <c r="E28" s="51">
        <v>0</v>
      </c>
      <c r="F28" s="2"/>
    </row>
    <row r="29" spans="2:6">
      <c r="B29" s="2"/>
      <c r="C29" s="35" t="s">
        <v>739</v>
      </c>
      <c r="D29" s="36"/>
      <c r="E29" s="51">
        <v>0</v>
      </c>
      <c r="F29" s="2"/>
    </row>
    <row r="30" spans="2:6">
      <c r="B30" s="2"/>
      <c r="C30" s="35" t="s">
        <v>740</v>
      </c>
      <c r="D30" s="36"/>
      <c r="E30" s="51">
        <v>0</v>
      </c>
      <c r="F30" s="2"/>
    </row>
    <row r="31" spans="2:6">
      <c r="B31" s="2"/>
      <c r="C31" s="35" t="s">
        <v>741</v>
      </c>
      <c r="D31" s="36"/>
      <c r="E31" s="51">
        <v>0</v>
      </c>
      <c r="F31" s="2"/>
    </row>
    <row r="32" spans="2:6">
      <c r="B32" s="2"/>
      <c r="C32" s="35" t="s">
        <v>742</v>
      </c>
      <c r="D32" s="36"/>
      <c r="E32" s="18">
        <f>20%*E28</f>
        <v>0</v>
      </c>
      <c r="F32" s="2"/>
    </row>
    <row r="33" spans="2:6">
      <c r="B33" s="2"/>
      <c r="C33" s="35" t="s">
        <v>743</v>
      </c>
      <c r="D33" s="36"/>
      <c r="E33" s="18">
        <f>((1%*E29)+(0.25%*E30)+(2%*E31))</f>
        <v>0</v>
      </c>
      <c r="F33" s="2"/>
    </row>
    <row r="34" spans="2:6">
      <c r="B34" s="2"/>
      <c r="C34" s="35" t="s">
        <v>744</v>
      </c>
      <c r="D34" s="36"/>
      <c r="E34" s="18">
        <f>MAX(E32,E33)</f>
        <v>0</v>
      </c>
      <c r="F34" s="2"/>
    </row>
    <row r="35" spans="2:6">
      <c r="B35" s="2"/>
      <c r="C35" s="35" t="s">
        <v>745</v>
      </c>
      <c r="D35" s="36"/>
      <c r="E35" s="18">
        <f>E26</f>
        <v>0</v>
      </c>
      <c r="F35" s="2"/>
    </row>
    <row r="36" spans="2:6">
      <c r="B36" s="2"/>
      <c r="C36" s="35" t="s">
        <v>746</v>
      </c>
      <c r="D36" s="36"/>
      <c r="E36" s="18">
        <f>E35-E34</f>
        <v>0</v>
      </c>
      <c r="F36" s="2"/>
    </row>
    <row r="37" spans="2:6">
      <c r="B37" s="2"/>
      <c r="C37" s="2"/>
      <c r="D37" s="2"/>
      <c r="E37" s="2"/>
      <c r="F37" s="2"/>
    </row>
    <row r="38" spans="2:6" ht="5.0999999999999996" customHeight="1">
      <c r="B38" s="2"/>
      <c r="C38" s="2"/>
      <c r="D38" s="2"/>
      <c r="E38" s="2"/>
      <c r="F38" s="2"/>
    </row>
  </sheetData>
  <sheetProtection sheet="1" formatColumns="0" formatRows="0" selectLockedCells="1"/>
  <mergeCells count="37">
    <mergeCell ref="C7:E7"/>
    <mergeCell ref="C9:E9"/>
    <mergeCell ref="C10:E10"/>
    <mergeCell ref="C11:E11"/>
    <mergeCell ref="C13:E13"/>
    <mergeCell ref="C14:D15"/>
    <mergeCell ref="E14:E15"/>
    <mergeCell ref="C16:D16"/>
    <mergeCell ref="C17:D17"/>
    <mergeCell ref="E17"/>
    <mergeCell ref="C18:D18"/>
    <mergeCell ref="C19:D19"/>
    <mergeCell ref="E19"/>
    <mergeCell ref="C20:D20"/>
    <mergeCell ref="E20"/>
    <mergeCell ref="C21:D21"/>
    <mergeCell ref="C22:D22"/>
    <mergeCell ref="C23:D23"/>
    <mergeCell ref="E23"/>
    <mergeCell ref="C24:D24"/>
    <mergeCell ref="E24"/>
    <mergeCell ref="C25:D25"/>
    <mergeCell ref="C26:D26"/>
    <mergeCell ref="C27:D27"/>
    <mergeCell ref="C28:D28"/>
    <mergeCell ref="E28"/>
    <mergeCell ref="C29:D29"/>
    <mergeCell ref="E29"/>
    <mergeCell ref="C30:D30"/>
    <mergeCell ref="E30"/>
    <mergeCell ref="C31:D31"/>
    <mergeCell ref="E31"/>
    <mergeCell ref="C32:D32"/>
    <mergeCell ref="C33:D33"/>
    <mergeCell ref="C34:D34"/>
    <mergeCell ref="C35:D35"/>
    <mergeCell ref="C36:D36"/>
  </mergeCells>
  <dataValidations count="9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27" width="30" style="1" customWidth="1"/>
    <col min="28" max="28" width="1" style="1" customWidth="1"/>
    <col min="29" max="29" width="9.140625" style="1" customWidth="1"/>
    <col min="30" max="16384" width="9.140625" style="1"/>
  </cols>
  <sheetData>
    <row r="2" spans="2:28" ht="5.0999999999999996" customHeight="1">
      <c r="B2" s="9" t="s">
        <v>747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2"/>
    </row>
    <row r="8" spans="2:2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>
      <c r="B9" s="2"/>
      <c r="C9" s="46" t="s">
        <v>748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2"/>
    </row>
    <row r="10" spans="2:28">
      <c r="B10" s="2"/>
      <c r="C10" s="46" t="s">
        <v>749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"/>
    </row>
    <row r="11" spans="2:2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2"/>
    </row>
    <row r="12" spans="2:28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>
      <c r="B13" s="2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2"/>
    </row>
    <row r="14" spans="2:28">
      <c r="B14" s="2"/>
      <c r="C14" s="40" t="s">
        <v>126</v>
      </c>
      <c r="D14" s="38"/>
      <c r="E14" s="40" t="str">
        <f>""</f>
        <v/>
      </c>
      <c r="F14" s="54"/>
      <c r="G14" s="38"/>
      <c r="H14" s="40" t="str">
        <f>"Sesuai SEOJK No. 9/SEOJK.05/2017"</f>
        <v>Sesuai SEOJK No. 9/SEOJK.05/2017</v>
      </c>
      <c r="I14" s="54"/>
      <c r="J14" s="54"/>
      <c r="K14" s="54"/>
      <c r="L14" s="54"/>
      <c r="M14" s="54"/>
      <c r="N14" s="54"/>
      <c r="O14" s="54"/>
      <c r="P14" s="54"/>
      <c r="Q14" s="38"/>
      <c r="R14" s="40" t="str">
        <f>"Tidak Sesuai SEOJK No. 9/SEOJK.05/2017"</f>
        <v>Tidak Sesuai SEOJK No. 9/SEOJK.05/2017</v>
      </c>
      <c r="S14" s="54"/>
      <c r="T14" s="54"/>
      <c r="U14" s="54"/>
      <c r="V14" s="54"/>
      <c r="W14" s="54"/>
      <c r="X14" s="54"/>
      <c r="Y14" s="54"/>
      <c r="Z14" s="54"/>
      <c r="AA14" s="38"/>
      <c r="AB14" s="2"/>
    </row>
    <row r="15" spans="2:28">
      <c r="B15" s="2"/>
      <c r="C15" s="41"/>
      <c r="D15" s="42"/>
      <c r="E15" s="43" t="str">
        <f>"Nama Produk"</f>
        <v>Nama Produk</v>
      </c>
      <c r="F15" s="43" t="str">
        <f>"Jenis Polis (Kumpulan/Individual)"</f>
        <v>Jenis Polis (Kumpulan/Individual)</v>
      </c>
      <c r="G15" s="43" t="str">
        <f>"Lini Usaha"</f>
        <v>Lini Usaha</v>
      </c>
      <c r="H15" s="43" t="str">
        <f>"Jumlah Peserta Aktif pada Awal Periode Laporan"</f>
        <v>Jumlah Peserta Aktif pada Awal Periode Laporan</v>
      </c>
      <c r="I15" s="43" t="str">
        <f>"Jumlah Peserta Baru Dalam Periode Laporan"</f>
        <v>Jumlah Peserta Baru Dalam Periode Laporan</v>
      </c>
      <c r="J15" s="43" t="str">
        <f>"Jumlah Kepesertaan yang Diperpanjang pada Periode Laporan"</f>
        <v>Jumlah Kepesertaan yang Diperpanjang pada Periode Laporan</v>
      </c>
      <c r="K15" s="43" t="str">
        <f>"Jumlah Kepesertaan yang Berakhir Karena Jatuh Tempo"</f>
        <v>Jumlah Kepesertaan yang Berakhir Karena Jatuh Tempo</v>
      </c>
      <c r="L15" s="43" t="str">
        <f>"Jumlah Kepesertaan yang Dibatalkan"</f>
        <v>Jumlah Kepesertaan yang Dibatalkan</v>
      </c>
      <c r="M15" s="43" t="str">
        <f>"Jumlah Kepesertaan yang Berakhir Karena Klaim"</f>
        <v>Jumlah Kepesertaan yang Berakhir Karena Klaim</v>
      </c>
      <c r="N15" s="43" t="str">
        <f>"Jumlah Peserta Aktif pada Akhir Periode Laporan"</f>
        <v>Jumlah Peserta Aktif pada Akhir Periode Laporan</v>
      </c>
      <c r="O15" s="43" t="str">
        <f>"Premi / Kontribusi Bruto (Rp)"</f>
        <v>Premi / Kontribusi Bruto (Rp)</v>
      </c>
      <c r="P15" s="43" t="str">
        <f>"Klaim Bruto (Rp)"</f>
        <v>Klaim Bruto (Rp)</v>
      </c>
      <c r="Q15" s="43" t="str">
        <f>"Jumlah Peserta Klaim"</f>
        <v>Jumlah Peserta Klaim</v>
      </c>
      <c r="R15" s="43" t="str">
        <f>"Jumlah Peserta Aktif pada Awal Periode Laporan"</f>
        <v>Jumlah Peserta Aktif pada Awal Periode Laporan</v>
      </c>
      <c r="S15" s="43" t="str">
        <f>"Jumlah Peserta Baru Dalam Periode Laporan"</f>
        <v>Jumlah Peserta Baru Dalam Periode Laporan</v>
      </c>
      <c r="T15" s="43" t="str">
        <f>"Jumlah Kepesertaan yang Diperpanjang pada Periode Laporan"</f>
        <v>Jumlah Kepesertaan yang Diperpanjang pada Periode Laporan</v>
      </c>
      <c r="U15" s="43" t="str">
        <f>"Jumlah Kepesertaan yang Berakhir Karena Jatuh Tempo"</f>
        <v>Jumlah Kepesertaan yang Berakhir Karena Jatuh Tempo</v>
      </c>
      <c r="V15" s="43" t="str">
        <f>"Tidak Sesuai Grand Design Asuransi Mikro"</f>
        <v>Tidak Sesuai Grand Design Asuransi Mikro</v>
      </c>
      <c r="W15" s="43" t="str">
        <f>"Jumlah Kepesertaan yang Berakhir Karena Klaim"</f>
        <v>Jumlah Kepesertaan yang Berakhir Karena Klaim</v>
      </c>
      <c r="X15" s="43" t="str">
        <f>"Jumlah Peserta Aktif pada Akhir Periode Laporan"</f>
        <v>Jumlah Peserta Aktif pada Akhir Periode Laporan</v>
      </c>
      <c r="Y15" s="43" t="str">
        <f>"Premi / Kontribusi Bruto (Rp)"</f>
        <v>Premi / Kontribusi Bruto (Rp)</v>
      </c>
      <c r="Z15" s="43" t="str">
        <f>"Klaim Bruto (Rp)"</f>
        <v>Klaim Bruto (Rp)</v>
      </c>
      <c r="AA15" s="43" t="str">
        <f>"Jumlah Peserta Klaim"</f>
        <v>Jumlah Peserta Klaim</v>
      </c>
      <c r="AB15" s="2"/>
    </row>
    <row r="16" spans="2:28">
      <c r="B16" s="2"/>
      <c r="C16" s="37" t="s">
        <v>8</v>
      </c>
      <c r="D16" s="38"/>
      <c r="E16" s="34" t="s">
        <v>103</v>
      </c>
      <c r="F16" s="39">
        <v>0</v>
      </c>
      <c r="G16" s="39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2"/>
    </row>
    <row r="17" spans="2:28">
      <c r="B17" s="2"/>
      <c r="C17" s="37" t="s">
        <v>127</v>
      </c>
      <c r="D17" s="38"/>
      <c r="E17" s="34" t="s">
        <v>103</v>
      </c>
      <c r="F17" s="39">
        <v>0</v>
      </c>
      <c r="G17" s="39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2"/>
    </row>
    <row r="18" spans="2:28">
      <c r="B18" s="2"/>
      <c r="C18" s="37" t="s">
        <v>128</v>
      </c>
      <c r="D18" s="38"/>
      <c r="E18" s="34" t="s">
        <v>103</v>
      </c>
      <c r="F18" s="39">
        <v>0</v>
      </c>
      <c r="G18" s="39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2"/>
    </row>
    <row r="19" spans="2:28">
      <c r="B19" s="2"/>
      <c r="C19" s="37" t="s">
        <v>129</v>
      </c>
      <c r="D19" s="38"/>
      <c r="E19" s="34" t="s">
        <v>103</v>
      </c>
      <c r="F19" s="39">
        <v>0</v>
      </c>
      <c r="G19" s="39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2"/>
    </row>
    <row r="20" spans="2:28">
      <c r="B20" s="2"/>
      <c r="C20" s="37" t="s">
        <v>130</v>
      </c>
      <c r="D20" s="38"/>
      <c r="E20" s="34" t="s">
        <v>103</v>
      </c>
      <c r="F20" s="39">
        <v>0</v>
      </c>
      <c r="G20" s="39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2"/>
    </row>
    <row r="21" spans="2:28">
      <c r="B21" s="2"/>
      <c r="C21" s="37" t="s">
        <v>131</v>
      </c>
      <c r="D21" s="38"/>
      <c r="E21" s="34" t="s">
        <v>103</v>
      </c>
      <c r="F21" s="39">
        <v>0</v>
      </c>
      <c r="G21" s="39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2"/>
    </row>
    <row r="22" spans="2:28">
      <c r="B22" s="2"/>
      <c r="C22" s="37" t="s">
        <v>132</v>
      </c>
      <c r="D22" s="38"/>
      <c r="E22" s="34" t="s">
        <v>103</v>
      </c>
      <c r="F22" s="39">
        <v>0</v>
      </c>
      <c r="G22" s="39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2"/>
    </row>
    <row r="23" spans="2:28">
      <c r="B23" s="2"/>
      <c r="C23" s="37" t="s">
        <v>133</v>
      </c>
      <c r="D23" s="38"/>
      <c r="E23" s="34" t="s">
        <v>103</v>
      </c>
      <c r="F23" s="39">
        <v>0</v>
      </c>
      <c r="G23" s="39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2"/>
    </row>
    <row r="24" spans="2:28">
      <c r="B24" s="2"/>
      <c r="C24" s="37" t="s">
        <v>134</v>
      </c>
      <c r="D24" s="38"/>
      <c r="E24" s="34" t="s">
        <v>103</v>
      </c>
      <c r="F24" s="39">
        <v>0</v>
      </c>
      <c r="G24" s="39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2"/>
    </row>
    <row r="25" spans="2:28">
      <c r="B25" s="2"/>
      <c r="C25" s="37" t="s">
        <v>135</v>
      </c>
      <c r="D25" s="38"/>
      <c r="E25" s="34" t="s">
        <v>103</v>
      </c>
      <c r="F25" s="39">
        <v>0</v>
      </c>
      <c r="G25" s="39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2"/>
    </row>
    <row r="26" spans="2:28">
      <c r="B26" s="2"/>
      <c r="C26" s="37" t="s">
        <v>136</v>
      </c>
      <c r="D26" s="38"/>
      <c r="E26" s="34" t="s">
        <v>103</v>
      </c>
      <c r="F26" s="39">
        <v>0</v>
      </c>
      <c r="G26" s="39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2"/>
    </row>
    <row r="27" spans="2:28">
      <c r="B27" s="2"/>
      <c r="C27" s="37" t="s">
        <v>137</v>
      </c>
      <c r="D27" s="38"/>
      <c r="E27" s="34" t="s">
        <v>103</v>
      </c>
      <c r="F27" s="39">
        <v>0</v>
      </c>
      <c r="G27" s="39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2"/>
    </row>
    <row r="28" spans="2:28">
      <c r="B28" s="2"/>
      <c r="C28" s="37" t="s">
        <v>138</v>
      </c>
      <c r="D28" s="38"/>
      <c r="E28" s="34" t="s">
        <v>103</v>
      </c>
      <c r="F28" s="39">
        <v>0</v>
      </c>
      <c r="G28" s="39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2"/>
    </row>
    <row r="29" spans="2:28">
      <c r="B29" s="2"/>
      <c r="C29" s="37" t="s">
        <v>139</v>
      </c>
      <c r="D29" s="38"/>
      <c r="E29" s="34" t="s">
        <v>103</v>
      </c>
      <c r="F29" s="39">
        <v>0</v>
      </c>
      <c r="G29" s="39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2"/>
    </row>
    <row r="30" spans="2:28">
      <c r="B30" s="2"/>
      <c r="C30" s="37" t="s">
        <v>140</v>
      </c>
      <c r="D30" s="38"/>
      <c r="E30" s="34" t="s">
        <v>103</v>
      </c>
      <c r="F30" s="39">
        <v>0</v>
      </c>
      <c r="G30" s="39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2"/>
    </row>
    <row r="31" spans="2:28">
      <c r="B31" s="2"/>
      <c r="C31" s="37" t="s">
        <v>141</v>
      </c>
      <c r="D31" s="38"/>
      <c r="E31" s="34" t="s">
        <v>103</v>
      </c>
      <c r="F31" s="39">
        <v>0</v>
      </c>
      <c r="G31" s="39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2"/>
    </row>
    <row r="32" spans="2:28">
      <c r="B32" s="2"/>
      <c r="C32" s="37" t="s">
        <v>142</v>
      </c>
      <c r="D32" s="38"/>
      <c r="E32" s="34" t="s">
        <v>103</v>
      </c>
      <c r="F32" s="39">
        <v>0</v>
      </c>
      <c r="G32" s="39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2"/>
    </row>
    <row r="33" spans="2:28">
      <c r="B33" s="2"/>
      <c r="C33" s="37" t="s">
        <v>143</v>
      </c>
      <c r="D33" s="38"/>
      <c r="E33" s="34" t="s">
        <v>103</v>
      </c>
      <c r="F33" s="39">
        <v>0</v>
      </c>
      <c r="G33" s="39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2"/>
    </row>
    <row r="34" spans="2:28">
      <c r="B34" s="2"/>
      <c r="C34" s="37" t="s">
        <v>144</v>
      </c>
      <c r="D34" s="38"/>
      <c r="E34" s="34" t="s">
        <v>103</v>
      </c>
      <c r="F34" s="39">
        <v>0</v>
      </c>
      <c r="G34" s="39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2"/>
    </row>
    <row r="35" spans="2:28">
      <c r="B35" s="2"/>
      <c r="C35" s="37" t="s">
        <v>145</v>
      </c>
      <c r="D35" s="38"/>
      <c r="E35" s="34" t="s">
        <v>103</v>
      </c>
      <c r="F35" s="39">
        <v>0</v>
      </c>
      <c r="G35" s="39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2"/>
    </row>
    <row r="36" spans="2:28">
      <c r="B36" s="2"/>
      <c r="C36" s="37" t="s">
        <v>146</v>
      </c>
      <c r="D36" s="38"/>
      <c r="E36" s="34" t="s">
        <v>103</v>
      </c>
      <c r="F36" s="39">
        <v>0</v>
      </c>
      <c r="G36" s="39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2"/>
    </row>
    <row r="37" spans="2:28">
      <c r="B37" s="2"/>
      <c r="C37" s="37" t="s">
        <v>147</v>
      </c>
      <c r="D37" s="38"/>
      <c r="E37" s="34" t="s">
        <v>103</v>
      </c>
      <c r="F37" s="39">
        <v>0</v>
      </c>
      <c r="G37" s="39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2"/>
    </row>
    <row r="38" spans="2:28">
      <c r="B38" s="2"/>
      <c r="C38" s="37" t="s">
        <v>148</v>
      </c>
      <c r="D38" s="38"/>
      <c r="E38" s="34" t="s">
        <v>103</v>
      </c>
      <c r="F38" s="39">
        <v>0</v>
      </c>
      <c r="G38" s="39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2"/>
    </row>
    <row r="39" spans="2:28">
      <c r="B39" s="2"/>
      <c r="C39" s="37" t="s">
        <v>149</v>
      </c>
      <c r="D39" s="38"/>
      <c r="E39" s="34" t="s">
        <v>103</v>
      </c>
      <c r="F39" s="39">
        <v>0</v>
      </c>
      <c r="G39" s="39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2"/>
    </row>
    <row r="40" spans="2:28">
      <c r="B40" s="2"/>
      <c r="C40" s="37" t="s">
        <v>150</v>
      </c>
      <c r="D40" s="38"/>
      <c r="E40" s="34" t="s">
        <v>103</v>
      </c>
      <c r="F40" s="39">
        <v>0</v>
      </c>
      <c r="G40" s="39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2"/>
    </row>
    <row r="41" spans="2:28">
      <c r="B41" s="2"/>
      <c r="C41" s="37" t="s">
        <v>151</v>
      </c>
      <c r="D41" s="38"/>
      <c r="E41" s="34" t="s">
        <v>103</v>
      </c>
      <c r="F41" s="39">
        <v>0</v>
      </c>
      <c r="G41" s="39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2"/>
    </row>
    <row r="42" spans="2:28">
      <c r="B42" s="2"/>
      <c r="C42" s="37" t="s">
        <v>152</v>
      </c>
      <c r="D42" s="38"/>
      <c r="E42" s="34" t="s">
        <v>103</v>
      </c>
      <c r="F42" s="39">
        <v>0</v>
      </c>
      <c r="G42" s="39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2"/>
    </row>
    <row r="43" spans="2:28">
      <c r="B43" s="2"/>
      <c r="C43" s="37" t="s">
        <v>153</v>
      </c>
      <c r="D43" s="38"/>
      <c r="E43" s="34" t="s">
        <v>103</v>
      </c>
      <c r="F43" s="39">
        <v>0</v>
      </c>
      <c r="G43" s="39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2"/>
    </row>
    <row r="44" spans="2:28">
      <c r="B44" s="2"/>
      <c r="C44" s="37" t="s">
        <v>154</v>
      </c>
      <c r="D44" s="38"/>
      <c r="E44" s="34" t="s">
        <v>103</v>
      </c>
      <c r="F44" s="39">
        <v>0</v>
      </c>
      <c r="G44" s="39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2"/>
    </row>
    <row r="45" spans="2:28">
      <c r="B45" s="2"/>
      <c r="C45" s="37" t="s">
        <v>155</v>
      </c>
      <c r="D45" s="38"/>
      <c r="E45" s="34" t="s">
        <v>103</v>
      </c>
      <c r="F45" s="39">
        <v>0</v>
      </c>
      <c r="G45" s="39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2"/>
    </row>
    <row r="46" spans="2:28">
      <c r="B46" s="2"/>
      <c r="C46" s="37" t="s">
        <v>156</v>
      </c>
      <c r="D46" s="38"/>
      <c r="E46" s="34" t="s">
        <v>103</v>
      </c>
      <c r="F46" s="39">
        <v>0</v>
      </c>
      <c r="G46" s="39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2"/>
    </row>
    <row r="47" spans="2:28">
      <c r="B47" s="2"/>
      <c r="C47" s="37" t="s">
        <v>157</v>
      </c>
      <c r="D47" s="38"/>
      <c r="E47" s="34" t="s">
        <v>103</v>
      </c>
      <c r="F47" s="39">
        <v>0</v>
      </c>
      <c r="G47" s="39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2"/>
    </row>
    <row r="48" spans="2:28">
      <c r="B48" s="2"/>
      <c r="C48" s="37" t="s">
        <v>158</v>
      </c>
      <c r="D48" s="38"/>
      <c r="E48" s="34" t="s">
        <v>103</v>
      </c>
      <c r="F48" s="39">
        <v>0</v>
      </c>
      <c r="G48" s="39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2"/>
    </row>
    <row r="49" spans="2:28">
      <c r="B49" s="2"/>
      <c r="C49" s="37" t="s">
        <v>159</v>
      </c>
      <c r="D49" s="38"/>
      <c r="E49" s="34" t="s">
        <v>103</v>
      </c>
      <c r="F49" s="39">
        <v>0</v>
      </c>
      <c r="G49" s="39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2"/>
    </row>
    <row r="50" spans="2:28">
      <c r="B50" s="2"/>
      <c r="C50" s="37" t="s">
        <v>160</v>
      </c>
      <c r="D50" s="38"/>
      <c r="E50" s="34" t="s">
        <v>103</v>
      </c>
      <c r="F50" s="39">
        <v>0</v>
      </c>
      <c r="G50" s="39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2"/>
    </row>
    <row r="51" spans="2:28">
      <c r="B51" s="2"/>
      <c r="C51" s="37" t="s">
        <v>161</v>
      </c>
      <c r="D51" s="38"/>
      <c r="E51" s="34" t="s">
        <v>103</v>
      </c>
      <c r="F51" s="39">
        <v>0</v>
      </c>
      <c r="G51" s="39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2"/>
    </row>
    <row r="52" spans="2:28">
      <c r="B52" s="2"/>
      <c r="C52" s="37" t="s">
        <v>162</v>
      </c>
      <c r="D52" s="38"/>
      <c r="E52" s="34" t="s">
        <v>103</v>
      </c>
      <c r="F52" s="39">
        <v>0</v>
      </c>
      <c r="G52" s="39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2"/>
    </row>
    <row r="53" spans="2:28">
      <c r="B53" s="2"/>
      <c r="C53" s="37" t="s">
        <v>163</v>
      </c>
      <c r="D53" s="38"/>
      <c r="E53" s="34" t="s">
        <v>103</v>
      </c>
      <c r="F53" s="39">
        <v>0</v>
      </c>
      <c r="G53" s="39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2"/>
    </row>
    <row r="54" spans="2:28">
      <c r="B54" s="2"/>
      <c r="C54" s="37" t="s">
        <v>164</v>
      </c>
      <c r="D54" s="38"/>
      <c r="E54" s="34" t="s">
        <v>103</v>
      </c>
      <c r="F54" s="39">
        <v>0</v>
      </c>
      <c r="G54" s="39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2"/>
    </row>
    <row r="55" spans="2:28">
      <c r="B55" s="2"/>
      <c r="C55" s="37" t="s">
        <v>165</v>
      </c>
      <c r="D55" s="38"/>
      <c r="E55" s="34" t="s">
        <v>103</v>
      </c>
      <c r="F55" s="39">
        <v>0</v>
      </c>
      <c r="G55" s="39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2"/>
    </row>
    <row r="56" spans="2:28">
      <c r="B56" s="2"/>
      <c r="C56" s="37" t="s">
        <v>166</v>
      </c>
      <c r="D56" s="38"/>
      <c r="E56" s="34" t="s">
        <v>103</v>
      </c>
      <c r="F56" s="39">
        <v>0</v>
      </c>
      <c r="G56" s="39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2"/>
    </row>
    <row r="57" spans="2:28">
      <c r="B57" s="2"/>
      <c r="C57" s="37" t="s">
        <v>167</v>
      </c>
      <c r="D57" s="38"/>
      <c r="E57" s="34" t="s">
        <v>103</v>
      </c>
      <c r="F57" s="39">
        <v>0</v>
      </c>
      <c r="G57" s="39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2"/>
    </row>
    <row r="58" spans="2:28">
      <c r="B58" s="2"/>
      <c r="C58" s="37" t="s">
        <v>168</v>
      </c>
      <c r="D58" s="38"/>
      <c r="E58" s="34" t="s">
        <v>103</v>
      </c>
      <c r="F58" s="39">
        <v>0</v>
      </c>
      <c r="G58" s="39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2"/>
    </row>
    <row r="59" spans="2:28">
      <c r="B59" s="2"/>
      <c r="C59" s="37" t="s">
        <v>169</v>
      </c>
      <c r="D59" s="38"/>
      <c r="E59" s="34" t="s">
        <v>103</v>
      </c>
      <c r="F59" s="39">
        <v>0</v>
      </c>
      <c r="G59" s="39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2"/>
    </row>
    <row r="60" spans="2:28">
      <c r="B60" s="2"/>
      <c r="C60" s="37" t="s">
        <v>170</v>
      </c>
      <c r="D60" s="38"/>
      <c r="E60" s="34" t="s">
        <v>103</v>
      </c>
      <c r="F60" s="39">
        <v>0</v>
      </c>
      <c r="G60" s="39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2"/>
    </row>
    <row r="61" spans="2:28">
      <c r="B61" s="2"/>
      <c r="C61" s="37" t="s">
        <v>171</v>
      </c>
      <c r="D61" s="38"/>
      <c r="E61" s="34" t="s">
        <v>103</v>
      </c>
      <c r="F61" s="39">
        <v>0</v>
      </c>
      <c r="G61" s="39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2"/>
    </row>
    <row r="62" spans="2:28">
      <c r="B62" s="2"/>
      <c r="C62" s="37" t="s">
        <v>172</v>
      </c>
      <c r="D62" s="38"/>
      <c r="E62" s="34" t="s">
        <v>103</v>
      </c>
      <c r="F62" s="39">
        <v>0</v>
      </c>
      <c r="G62" s="39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2"/>
    </row>
    <row r="63" spans="2:28">
      <c r="B63" s="2"/>
      <c r="C63" s="37" t="s">
        <v>173</v>
      </c>
      <c r="D63" s="38"/>
      <c r="E63" s="34" t="s">
        <v>103</v>
      </c>
      <c r="F63" s="39">
        <v>0</v>
      </c>
      <c r="G63" s="39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2"/>
    </row>
    <row r="64" spans="2:28">
      <c r="B64" s="2"/>
      <c r="C64" s="37" t="s">
        <v>174</v>
      </c>
      <c r="D64" s="38"/>
      <c r="E64" s="34" t="s">
        <v>103</v>
      </c>
      <c r="F64" s="39">
        <v>0</v>
      </c>
      <c r="G64" s="39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2"/>
    </row>
    <row r="65" spans="2:28">
      <c r="B65" s="2"/>
      <c r="C65" s="37" t="s">
        <v>175</v>
      </c>
      <c r="D65" s="38"/>
      <c r="E65" s="34" t="s">
        <v>103</v>
      </c>
      <c r="F65" s="39">
        <v>0</v>
      </c>
      <c r="G65" s="39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2"/>
    </row>
    <row r="66" spans="2:28">
      <c r="B66" s="2"/>
      <c r="C66" s="37" t="s">
        <v>176</v>
      </c>
      <c r="D66" s="38"/>
      <c r="E66" s="34" t="s">
        <v>103</v>
      </c>
      <c r="F66" s="39">
        <v>0</v>
      </c>
      <c r="G66" s="39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2"/>
    </row>
    <row r="67" spans="2:28">
      <c r="B67" s="2"/>
      <c r="C67" s="37" t="s">
        <v>177</v>
      </c>
      <c r="D67" s="38"/>
      <c r="E67" s="34" t="s">
        <v>103</v>
      </c>
      <c r="F67" s="39">
        <v>0</v>
      </c>
      <c r="G67" s="39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2"/>
    </row>
    <row r="68" spans="2:28">
      <c r="B68" s="2"/>
      <c r="C68" s="37" t="s">
        <v>178</v>
      </c>
      <c r="D68" s="38"/>
      <c r="E68" s="34" t="s">
        <v>103</v>
      </c>
      <c r="F68" s="39">
        <v>0</v>
      </c>
      <c r="G68" s="39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2"/>
    </row>
    <row r="69" spans="2:28">
      <c r="B69" s="2"/>
      <c r="C69" s="37" t="s">
        <v>179</v>
      </c>
      <c r="D69" s="38"/>
      <c r="E69" s="34" t="s">
        <v>103</v>
      </c>
      <c r="F69" s="39">
        <v>0</v>
      </c>
      <c r="G69" s="39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2"/>
    </row>
    <row r="70" spans="2:28">
      <c r="B70" s="2"/>
      <c r="C70" s="37" t="s">
        <v>180</v>
      </c>
      <c r="D70" s="38"/>
      <c r="E70" s="34" t="s">
        <v>103</v>
      </c>
      <c r="F70" s="39">
        <v>0</v>
      </c>
      <c r="G70" s="39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2"/>
    </row>
    <row r="71" spans="2:28">
      <c r="B71" s="2"/>
      <c r="C71" s="37" t="s">
        <v>181</v>
      </c>
      <c r="D71" s="38"/>
      <c r="E71" s="34" t="s">
        <v>103</v>
      </c>
      <c r="F71" s="39">
        <v>0</v>
      </c>
      <c r="G71" s="39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2"/>
    </row>
    <row r="72" spans="2:28">
      <c r="B72" s="2"/>
      <c r="C72" s="37" t="s">
        <v>182</v>
      </c>
      <c r="D72" s="38"/>
      <c r="E72" s="34" t="s">
        <v>103</v>
      </c>
      <c r="F72" s="39">
        <v>0</v>
      </c>
      <c r="G72" s="39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2"/>
    </row>
    <row r="73" spans="2:28">
      <c r="B73" s="2"/>
      <c r="C73" s="37" t="s">
        <v>183</v>
      </c>
      <c r="D73" s="38"/>
      <c r="E73" s="34" t="s">
        <v>103</v>
      </c>
      <c r="F73" s="39">
        <v>0</v>
      </c>
      <c r="G73" s="39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2"/>
    </row>
    <row r="74" spans="2:28">
      <c r="B74" s="2"/>
      <c r="C74" s="37" t="s">
        <v>184</v>
      </c>
      <c r="D74" s="38"/>
      <c r="E74" s="34" t="s">
        <v>103</v>
      </c>
      <c r="F74" s="39">
        <v>0</v>
      </c>
      <c r="G74" s="39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2"/>
    </row>
    <row r="75" spans="2:28">
      <c r="B75" s="2"/>
      <c r="C75" s="37" t="s">
        <v>185</v>
      </c>
      <c r="D75" s="38"/>
      <c r="E75" s="34" t="s">
        <v>103</v>
      </c>
      <c r="F75" s="39">
        <v>0</v>
      </c>
      <c r="G75" s="39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2"/>
    </row>
    <row r="76" spans="2:28">
      <c r="B76" s="2"/>
      <c r="C76" s="37" t="s">
        <v>186</v>
      </c>
      <c r="D76" s="38"/>
      <c r="E76" s="34" t="s">
        <v>103</v>
      </c>
      <c r="F76" s="39">
        <v>0</v>
      </c>
      <c r="G76" s="39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2"/>
    </row>
    <row r="77" spans="2:28">
      <c r="B77" s="2"/>
      <c r="C77" s="37" t="s">
        <v>187</v>
      </c>
      <c r="D77" s="38"/>
      <c r="E77" s="34" t="s">
        <v>103</v>
      </c>
      <c r="F77" s="39">
        <v>0</v>
      </c>
      <c r="G77" s="39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2"/>
    </row>
    <row r="78" spans="2:28">
      <c r="B78" s="2"/>
      <c r="C78" s="37" t="s">
        <v>188</v>
      </c>
      <c r="D78" s="38"/>
      <c r="E78" s="34" t="s">
        <v>103</v>
      </c>
      <c r="F78" s="39">
        <v>0</v>
      </c>
      <c r="G78" s="39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2"/>
    </row>
    <row r="79" spans="2:28">
      <c r="B79" s="2"/>
      <c r="C79" s="37" t="s">
        <v>189</v>
      </c>
      <c r="D79" s="38"/>
      <c r="E79" s="34" t="s">
        <v>103</v>
      </c>
      <c r="F79" s="39">
        <v>0</v>
      </c>
      <c r="G79" s="39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2"/>
    </row>
    <row r="80" spans="2:28">
      <c r="B80" s="2"/>
      <c r="C80" s="37" t="s">
        <v>190</v>
      </c>
      <c r="D80" s="38"/>
      <c r="E80" s="34" t="s">
        <v>103</v>
      </c>
      <c r="F80" s="39">
        <v>0</v>
      </c>
      <c r="G80" s="39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2"/>
    </row>
    <row r="81" spans="2:28">
      <c r="B81" s="2"/>
      <c r="C81" s="37" t="s">
        <v>191</v>
      </c>
      <c r="D81" s="38"/>
      <c r="E81" s="34" t="s">
        <v>103</v>
      </c>
      <c r="F81" s="39">
        <v>0</v>
      </c>
      <c r="G81" s="39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2"/>
    </row>
    <row r="82" spans="2:28">
      <c r="B82" s="2"/>
      <c r="C82" s="37" t="s">
        <v>192</v>
      </c>
      <c r="D82" s="38"/>
      <c r="E82" s="34" t="s">
        <v>103</v>
      </c>
      <c r="F82" s="39">
        <v>0</v>
      </c>
      <c r="G82" s="39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2"/>
    </row>
    <row r="83" spans="2:28">
      <c r="B83" s="2"/>
      <c r="C83" s="37" t="s">
        <v>193</v>
      </c>
      <c r="D83" s="38"/>
      <c r="E83" s="34" t="s">
        <v>103</v>
      </c>
      <c r="F83" s="39">
        <v>0</v>
      </c>
      <c r="G83" s="39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2"/>
    </row>
    <row r="84" spans="2:28">
      <c r="B84" s="2"/>
      <c r="C84" s="37" t="s">
        <v>194</v>
      </c>
      <c r="D84" s="38"/>
      <c r="E84" s="34" t="s">
        <v>103</v>
      </c>
      <c r="F84" s="39">
        <v>0</v>
      </c>
      <c r="G84" s="39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2"/>
    </row>
    <row r="85" spans="2:28">
      <c r="B85" s="2"/>
      <c r="C85" s="37" t="s">
        <v>195</v>
      </c>
      <c r="D85" s="38"/>
      <c r="E85" s="34" t="s">
        <v>103</v>
      </c>
      <c r="F85" s="39">
        <v>0</v>
      </c>
      <c r="G85" s="39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2"/>
    </row>
    <row r="86" spans="2:28">
      <c r="B86" s="2"/>
      <c r="C86" s="37" t="s">
        <v>196</v>
      </c>
      <c r="D86" s="38"/>
      <c r="E86" s="34" t="s">
        <v>103</v>
      </c>
      <c r="F86" s="39">
        <v>0</v>
      </c>
      <c r="G86" s="39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2"/>
    </row>
    <row r="87" spans="2:28">
      <c r="B87" s="2"/>
      <c r="C87" s="37" t="s">
        <v>197</v>
      </c>
      <c r="D87" s="38"/>
      <c r="E87" s="34" t="s">
        <v>103</v>
      </c>
      <c r="F87" s="39">
        <v>0</v>
      </c>
      <c r="G87" s="39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2"/>
    </row>
    <row r="88" spans="2:28">
      <c r="B88" s="2"/>
      <c r="C88" s="37" t="s">
        <v>198</v>
      </c>
      <c r="D88" s="38"/>
      <c r="E88" s="34" t="s">
        <v>103</v>
      </c>
      <c r="F88" s="39">
        <v>0</v>
      </c>
      <c r="G88" s="39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2"/>
    </row>
    <row r="89" spans="2:28">
      <c r="B89" s="2"/>
      <c r="C89" s="37" t="s">
        <v>199</v>
      </c>
      <c r="D89" s="38"/>
      <c r="E89" s="34" t="s">
        <v>103</v>
      </c>
      <c r="F89" s="39">
        <v>0</v>
      </c>
      <c r="G89" s="39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2"/>
    </row>
    <row r="90" spans="2:28">
      <c r="B90" s="2"/>
      <c r="C90" s="37" t="s">
        <v>200</v>
      </c>
      <c r="D90" s="38"/>
      <c r="E90" s="34" t="s">
        <v>103</v>
      </c>
      <c r="F90" s="39">
        <v>0</v>
      </c>
      <c r="G90" s="39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2"/>
    </row>
    <row r="91" spans="2:28">
      <c r="B91" s="2"/>
      <c r="C91" s="37" t="s">
        <v>201</v>
      </c>
      <c r="D91" s="38"/>
      <c r="E91" s="34" t="s">
        <v>103</v>
      </c>
      <c r="F91" s="39">
        <v>0</v>
      </c>
      <c r="G91" s="39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2"/>
    </row>
    <row r="92" spans="2:28">
      <c r="B92" s="2"/>
      <c r="C92" s="37" t="s">
        <v>202</v>
      </c>
      <c r="D92" s="38"/>
      <c r="E92" s="34" t="s">
        <v>103</v>
      </c>
      <c r="F92" s="39">
        <v>0</v>
      </c>
      <c r="G92" s="39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2"/>
    </row>
    <row r="93" spans="2:28">
      <c r="B93" s="2"/>
      <c r="C93" s="37" t="s">
        <v>203</v>
      </c>
      <c r="D93" s="38"/>
      <c r="E93" s="34" t="s">
        <v>103</v>
      </c>
      <c r="F93" s="39">
        <v>0</v>
      </c>
      <c r="G93" s="39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2"/>
    </row>
    <row r="94" spans="2:28">
      <c r="B94" s="2"/>
      <c r="C94" s="37" t="s">
        <v>204</v>
      </c>
      <c r="D94" s="38"/>
      <c r="E94" s="34" t="s">
        <v>103</v>
      </c>
      <c r="F94" s="39">
        <v>0</v>
      </c>
      <c r="G94" s="39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2"/>
    </row>
    <row r="95" spans="2:28">
      <c r="B95" s="2"/>
      <c r="C95" s="37" t="s">
        <v>205</v>
      </c>
      <c r="D95" s="38"/>
      <c r="E95" s="34" t="s">
        <v>103</v>
      </c>
      <c r="F95" s="39">
        <v>0</v>
      </c>
      <c r="G95" s="39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2"/>
    </row>
    <row r="96" spans="2:28">
      <c r="B96" s="2"/>
      <c r="C96" s="37" t="s">
        <v>206</v>
      </c>
      <c r="D96" s="38"/>
      <c r="E96" s="34" t="s">
        <v>103</v>
      </c>
      <c r="F96" s="39">
        <v>0</v>
      </c>
      <c r="G96" s="39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2"/>
    </row>
    <row r="97" spans="2:28">
      <c r="B97" s="2"/>
      <c r="C97" s="37" t="s">
        <v>207</v>
      </c>
      <c r="D97" s="38"/>
      <c r="E97" s="34" t="s">
        <v>103</v>
      </c>
      <c r="F97" s="39">
        <v>0</v>
      </c>
      <c r="G97" s="39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2"/>
    </row>
    <row r="98" spans="2:28">
      <c r="B98" s="2"/>
      <c r="C98" s="37" t="s">
        <v>208</v>
      </c>
      <c r="D98" s="38"/>
      <c r="E98" s="34" t="s">
        <v>103</v>
      </c>
      <c r="F98" s="39">
        <v>0</v>
      </c>
      <c r="G98" s="39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2"/>
    </row>
    <row r="99" spans="2:28">
      <c r="B99" s="2"/>
      <c r="C99" s="37" t="s">
        <v>209</v>
      </c>
      <c r="D99" s="38"/>
      <c r="E99" s="34" t="s">
        <v>103</v>
      </c>
      <c r="F99" s="39">
        <v>0</v>
      </c>
      <c r="G99" s="39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2"/>
    </row>
    <row r="100" spans="2:28">
      <c r="B100" s="2"/>
      <c r="C100" s="37" t="s">
        <v>210</v>
      </c>
      <c r="D100" s="38"/>
      <c r="E100" s="34" t="s">
        <v>103</v>
      </c>
      <c r="F100" s="39">
        <v>0</v>
      </c>
      <c r="G100" s="39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2"/>
    </row>
    <row r="101" spans="2:28">
      <c r="B101" s="2"/>
      <c r="C101" s="37" t="s">
        <v>211</v>
      </c>
      <c r="D101" s="38"/>
      <c r="E101" s="34" t="s">
        <v>103</v>
      </c>
      <c r="F101" s="39">
        <v>0</v>
      </c>
      <c r="G101" s="39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2"/>
    </row>
    <row r="102" spans="2:28">
      <c r="B102" s="2"/>
      <c r="C102" s="37" t="s">
        <v>212</v>
      </c>
      <c r="D102" s="38"/>
      <c r="E102" s="34" t="s">
        <v>103</v>
      </c>
      <c r="F102" s="39">
        <v>0</v>
      </c>
      <c r="G102" s="39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2"/>
    </row>
    <row r="103" spans="2:28">
      <c r="B103" s="2"/>
      <c r="C103" s="37" t="s">
        <v>213</v>
      </c>
      <c r="D103" s="38"/>
      <c r="E103" s="34" t="s">
        <v>103</v>
      </c>
      <c r="F103" s="39">
        <v>0</v>
      </c>
      <c r="G103" s="39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2"/>
    </row>
    <row r="104" spans="2:28">
      <c r="B104" s="2"/>
      <c r="C104" s="37" t="s">
        <v>214</v>
      </c>
      <c r="D104" s="38"/>
      <c r="E104" s="34" t="s">
        <v>103</v>
      </c>
      <c r="F104" s="39">
        <v>0</v>
      </c>
      <c r="G104" s="39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2"/>
    </row>
    <row r="105" spans="2:28">
      <c r="B105" s="2"/>
      <c r="C105" s="37" t="s">
        <v>215</v>
      </c>
      <c r="D105" s="38"/>
      <c r="E105" s="34" t="s">
        <v>103</v>
      </c>
      <c r="F105" s="39">
        <v>0</v>
      </c>
      <c r="G105" s="39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2"/>
    </row>
    <row r="106" spans="2:28">
      <c r="B106" s="2"/>
      <c r="C106" s="37" t="s">
        <v>216</v>
      </c>
      <c r="D106" s="38"/>
      <c r="E106" s="34" t="s">
        <v>103</v>
      </c>
      <c r="F106" s="39">
        <v>0</v>
      </c>
      <c r="G106" s="39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2"/>
    </row>
    <row r="107" spans="2:28">
      <c r="B107" s="2"/>
      <c r="C107" s="37" t="s">
        <v>217</v>
      </c>
      <c r="D107" s="38"/>
      <c r="E107" s="34" t="s">
        <v>103</v>
      </c>
      <c r="F107" s="39">
        <v>0</v>
      </c>
      <c r="G107" s="39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2"/>
    </row>
    <row r="108" spans="2:28">
      <c r="B108" s="2"/>
      <c r="C108" s="37" t="s">
        <v>218</v>
      </c>
      <c r="D108" s="38"/>
      <c r="E108" s="34" t="s">
        <v>103</v>
      </c>
      <c r="F108" s="39">
        <v>0</v>
      </c>
      <c r="G108" s="39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2"/>
    </row>
    <row r="109" spans="2:28">
      <c r="B109" s="2"/>
      <c r="C109" s="37" t="s">
        <v>219</v>
      </c>
      <c r="D109" s="38"/>
      <c r="E109" s="34" t="s">
        <v>103</v>
      </c>
      <c r="F109" s="39">
        <v>0</v>
      </c>
      <c r="G109" s="39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2"/>
    </row>
    <row r="110" spans="2:28">
      <c r="B110" s="2"/>
      <c r="C110" s="37" t="s">
        <v>220</v>
      </c>
      <c r="D110" s="38"/>
      <c r="E110" s="34" t="s">
        <v>103</v>
      </c>
      <c r="F110" s="39">
        <v>0</v>
      </c>
      <c r="G110" s="39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2"/>
    </row>
    <row r="111" spans="2:28">
      <c r="B111" s="2"/>
      <c r="C111" s="37" t="s">
        <v>221</v>
      </c>
      <c r="D111" s="38"/>
      <c r="E111" s="34" t="s">
        <v>103</v>
      </c>
      <c r="F111" s="39">
        <v>0</v>
      </c>
      <c r="G111" s="39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2"/>
    </row>
    <row r="112" spans="2:28">
      <c r="B112" s="2"/>
      <c r="C112" s="37" t="s">
        <v>222</v>
      </c>
      <c r="D112" s="38"/>
      <c r="E112" s="34" t="s">
        <v>103</v>
      </c>
      <c r="F112" s="39">
        <v>0</v>
      </c>
      <c r="G112" s="39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2"/>
    </row>
    <row r="113" spans="1:28">
      <c r="B113" s="2"/>
      <c r="C113" s="37" t="s">
        <v>223</v>
      </c>
      <c r="D113" s="38"/>
      <c r="E113" s="34" t="s">
        <v>103</v>
      </c>
      <c r="F113" s="39">
        <v>0</v>
      </c>
      <c r="G113" s="39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2"/>
    </row>
    <row r="114" spans="1:28" s="14" customFormat="1">
      <c r="B114" s="5"/>
      <c r="C114" s="49" t="s">
        <v>224</v>
      </c>
      <c r="D114" s="50"/>
      <c r="E114" s="34" t="s">
        <v>103</v>
      </c>
      <c r="F114" s="39">
        <v>0</v>
      </c>
      <c r="G114" s="39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"/>
    </row>
    <row r="115" spans="1:28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39">
        <v>0</v>
      </c>
      <c r="G115" s="39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"/>
    </row>
    <row r="116" spans="1:28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</sheetData>
  <sheetProtection sheet="1" formatColumns="0" formatRows="0" insertRows="0" deleteRows="0" selectLockedCells="1"/>
  <mergeCells count="2432">
    <mergeCell ref="C7:AA7"/>
    <mergeCell ref="C9:AA9"/>
    <mergeCell ref="C10:AA10"/>
    <mergeCell ref="C11:AA11"/>
    <mergeCell ref="C13:AA13"/>
    <mergeCell ref="H14:Q14"/>
    <mergeCell ref="R15"/>
    <mergeCell ref="S15"/>
    <mergeCell ref="T15"/>
    <mergeCell ref="U15"/>
    <mergeCell ref="R14:AA14"/>
    <mergeCell ref="AA15"/>
    <mergeCell ref="M15"/>
    <mergeCell ref="N15"/>
    <mergeCell ref="O15"/>
    <mergeCell ref="P15"/>
    <mergeCell ref="Q15"/>
    <mergeCell ref="H15"/>
    <mergeCell ref="I15"/>
    <mergeCell ref="J15"/>
    <mergeCell ref="K15"/>
    <mergeCell ref="L15"/>
    <mergeCell ref="Q16"/>
    <mergeCell ref="R16"/>
    <mergeCell ref="I16"/>
    <mergeCell ref="J16"/>
    <mergeCell ref="K16"/>
    <mergeCell ref="L16"/>
    <mergeCell ref="M16"/>
    <mergeCell ref="C16:D16"/>
    <mergeCell ref="E16"/>
    <mergeCell ref="F16"/>
    <mergeCell ref="G16"/>
    <mergeCell ref="H16"/>
    <mergeCell ref="V15"/>
    <mergeCell ref="W15"/>
    <mergeCell ref="X15"/>
    <mergeCell ref="Y15"/>
    <mergeCell ref="Z15"/>
    <mergeCell ref="C14:D15"/>
    <mergeCell ref="E15"/>
    <mergeCell ref="F15"/>
    <mergeCell ref="G15"/>
    <mergeCell ref="E14:G14"/>
    <mergeCell ref="W17"/>
    <mergeCell ref="X17"/>
    <mergeCell ref="Y17"/>
    <mergeCell ref="P17"/>
    <mergeCell ref="Q17"/>
    <mergeCell ref="R17"/>
    <mergeCell ref="S17"/>
    <mergeCell ref="T17"/>
    <mergeCell ref="X16"/>
    <mergeCell ref="Y16"/>
    <mergeCell ref="Z16"/>
    <mergeCell ref="AA16"/>
    <mergeCell ref="C17:D17"/>
    <mergeCell ref="E17"/>
    <mergeCell ref="F17"/>
    <mergeCell ref="G17"/>
    <mergeCell ref="H17"/>
    <mergeCell ref="I17"/>
    <mergeCell ref="J17"/>
    <mergeCell ref="K17"/>
    <mergeCell ref="L17"/>
    <mergeCell ref="M17"/>
    <mergeCell ref="N17"/>
    <mergeCell ref="O17"/>
    <mergeCell ref="S16"/>
    <mergeCell ref="T16"/>
    <mergeCell ref="U16"/>
    <mergeCell ref="V16"/>
    <mergeCell ref="W16"/>
    <mergeCell ref="N16"/>
    <mergeCell ref="O16"/>
    <mergeCell ref="P16"/>
    <mergeCell ref="E19"/>
    <mergeCell ref="F19"/>
    <mergeCell ref="G19"/>
    <mergeCell ref="H19"/>
    <mergeCell ref="W18"/>
    <mergeCell ref="X18"/>
    <mergeCell ref="Y18"/>
    <mergeCell ref="Z18"/>
    <mergeCell ref="AA18"/>
    <mergeCell ref="R18"/>
    <mergeCell ref="S18"/>
    <mergeCell ref="T18"/>
    <mergeCell ref="U18"/>
    <mergeCell ref="V18"/>
    <mergeCell ref="Z17"/>
    <mergeCell ref="AA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O18"/>
    <mergeCell ref="P18"/>
    <mergeCell ref="Q18"/>
    <mergeCell ref="U17"/>
    <mergeCell ref="V17"/>
    <mergeCell ref="X19"/>
    <mergeCell ref="Y19"/>
    <mergeCell ref="Z19"/>
    <mergeCell ref="AA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O20"/>
    <mergeCell ref="S19"/>
    <mergeCell ref="T19"/>
    <mergeCell ref="U19"/>
    <mergeCell ref="V19"/>
    <mergeCell ref="W19"/>
    <mergeCell ref="N19"/>
    <mergeCell ref="O19"/>
    <mergeCell ref="P19"/>
    <mergeCell ref="Q19"/>
    <mergeCell ref="R19"/>
    <mergeCell ref="I19"/>
    <mergeCell ref="J19"/>
    <mergeCell ref="K19"/>
    <mergeCell ref="L19"/>
    <mergeCell ref="M19"/>
    <mergeCell ref="C19:D19"/>
    <mergeCell ref="Z20"/>
    <mergeCell ref="AA20"/>
    <mergeCell ref="C21:D21"/>
    <mergeCell ref="E21"/>
    <mergeCell ref="F21"/>
    <mergeCell ref="G21"/>
    <mergeCell ref="H21"/>
    <mergeCell ref="I21"/>
    <mergeCell ref="J21"/>
    <mergeCell ref="K21"/>
    <mergeCell ref="L21"/>
    <mergeCell ref="M21"/>
    <mergeCell ref="N21"/>
    <mergeCell ref="O21"/>
    <mergeCell ref="P21"/>
    <mergeCell ref="Q21"/>
    <mergeCell ref="U20"/>
    <mergeCell ref="V20"/>
    <mergeCell ref="W20"/>
    <mergeCell ref="X20"/>
    <mergeCell ref="Y20"/>
    <mergeCell ref="P20"/>
    <mergeCell ref="Q20"/>
    <mergeCell ref="R20"/>
    <mergeCell ref="S20"/>
    <mergeCell ref="T20"/>
    <mergeCell ref="Q22"/>
    <mergeCell ref="R22"/>
    <mergeCell ref="I22"/>
    <mergeCell ref="J22"/>
    <mergeCell ref="K22"/>
    <mergeCell ref="L22"/>
    <mergeCell ref="M22"/>
    <mergeCell ref="C22:D22"/>
    <mergeCell ref="E22"/>
    <mergeCell ref="F22"/>
    <mergeCell ref="G22"/>
    <mergeCell ref="H22"/>
    <mergeCell ref="W21"/>
    <mergeCell ref="X21"/>
    <mergeCell ref="Y21"/>
    <mergeCell ref="Z21"/>
    <mergeCell ref="AA21"/>
    <mergeCell ref="R21"/>
    <mergeCell ref="S21"/>
    <mergeCell ref="T21"/>
    <mergeCell ref="U21"/>
    <mergeCell ref="V21"/>
    <mergeCell ref="W23"/>
    <mergeCell ref="X23"/>
    <mergeCell ref="Y23"/>
    <mergeCell ref="P23"/>
    <mergeCell ref="Q23"/>
    <mergeCell ref="R23"/>
    <mergeCell ref="S23"/>
    <mergeCell ref="T23"/>
    <mergeCell ref="X22"/>
    <mergeCell ref="Y22"/>
    <mergeCell ref="Z22"/>
    <mergeCell ref="AA22"/>
    <mergeCell ref="C23:D23"/>
    <mergeCell ref="E23"/>
    <mergeCell ref="F23"/>
    <mergeCell ref="G23"/>
    <mergeCell ref="H23"/>
    <mergeCell ref="I23"/>
    <mergeCell ref="J23"/>
    <mergeCell ref="K23"/>
    <mergeCell ref="L23"/>
    <mergeCell ref="M23"/>
    <mergeCell ref="N23"/>
    <mergeCell ref="O23"/>
    <mergeCell ref="S22"/>
    <mergeCell ref="T22"/>
    <mergeCell ref="U22"/>
    <mergeCell ref="V22"/>
    <mergeCell ref="W22"/>
    <mergeCell ref="N22"/>
    <mergeCell ref="O22"/>
    <mergeCell ref="P22"/>
    <mergeCell ref="E25"/>
    <mergeCell ref="F25"/>
    <mergeCell ref="G25"/>
    <mergeCell ref="H25"/>
    <mergeCell ref="W24"/>
    <mergeCell ref="X24"/>
    <mergeCell ref="Y24"/>
    <mergeCell ref="Z24"/>
    <mergeCell ref="AA24"/>
    <mergeCell ref="R24"/>
    <mergeCell ref="S24"/>
    <mergeCell ref="T24"/>
    <mergeCell ref="U24"/>
    <mergeCell ref="V24"/>
    <mergeCell ref="Z23"/>
    <mergeCell ref="AA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O24"/>
    <mergeCell ref="P24"/>
    <mergeCell ref="Q24"/>
    <mergeCell ref="U23"/>
    <mergeCell ref="V23"/>
    <mergeCell ref="X25"/>
    <mergeCell ref="Y25"/>
    <mergeCell ref="Z25"/>
    <mergeCell ref="AA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O26"/>
    <mergeCell ref="S25"/>
    <mergeCell ref="T25"/>
    <mergeCell ref="U25"/>
    <mergeCell ref="V25"/>
    <mergeCell ref="W25"/>
    <mergeCell ref="N25"/>
    <mergeCell ref="O25"/>
    <mergeCell ref="P25"/>
    <mergeCell ref="Q25"/>
    <mergeCell ref="R25"/>
    <mergeCell ref="I25"/>
    <mergeCell ref="J25"/>
    <mergeCell ref="K25"/>
    <mergeCell ref="L25"/>
    <mergeCell ref="M25"/>
    <mergeCell ref="C25:D25"/>
    <mergeCell ref="Z26"/>
    <mergeCell ref="AA26"/>
    <mergeCell ref="C27:D27"/>
    <mergeCell ref="E27"/>
    <mergeCell ref="F27"/>
    <mergeCell ref="G27"/>
    <mergeCell ref="H27"/>
    <mergeCell ref="I27"/>
    <mergeCell ref="J27"/>
    <mergeCell ref="K27"/>
    <mergeCell ref="L27"/>
    <mergeCell ref="M27"/>
    <mergeCell ref="N27"/>
    <mergeCell ref="O27"/>
    <mergeCell ref="P27"/>
    <mergeCell ref="Q27"/>
    <mergeCell ref="U26"/>
    <mergeCell ref="V26"/>
    <mergeCell ref="W26"/>
    <mergeCell ref="X26"/>
    <mergeCell ref="Y26"/>
    <mergeCell ref="P26"/>
    <mergeCell ref="Q26"/>
    <mergeCell ref="R26"/>
    <mergeCell ref="S26"/>
    <mergeCell ref="T26"/>
    <mergeCell ref="Q28"/>
    <mergeCell ref="R28"/>
    <mergeCell ref="I28"/>
    <mergeCell ref="J28"/>
    <mergeCell ref="K28"/>
    <mergeCell ref="L28"/>
    <mergeCell ref="M28"/>
    <mergeCell ref="C28:D28"/>
    <mergeCell ref="E28"/>
    <mergeCell ref="F28"/>
    <mergeCell ref="G28"/>
    <mergeCell ref="H28"/>
    <mergeCell ref="W27"/>
    <mergeCell ref="X27"/>
    <mergeCell ref="Y27"/>
    <mergeCell ref="Z27"/>
    <mergeCell ref="AA27"/>
    <mergeCell ref="R27"/>
    <mergeCell ref="S27"/>
    <mergeCell ref="T27"/>
    <mergeCell ref="U27"/>
    <mergeCell ref="V27"/>
    <mergeCell ref="W29"/>
    <mergeCell ref="X29"/>
    <mergeCell ref="Y29"/>
    <mergeCell ref="P29"/>
    <mergeCell ref="Q29"/>
    <mergeCell ref="R29"/>
    <mergeCell ref="S29"/>
    <mergeCell ref="T29"/>
    <mergeCell ref="X28"/>
    <mergeCell ref="Y28"/>
    <mergeCell ref="Z28"/>
    <mergeCell ref="AA28"/>
    <mergeCell ref="C29:D29"/>
    <mergeCell ref="E29"/>
    <mergeCell ref="F29"/>
    <mergeCell ref="G29"/>
    <mergeCell ref="H29"/>
    <mergeCell ref="I29"/>
    <mergeCell ref="J29"/>
    <mergeCell ref="K29"/>
    <mergeCell ref="L29"/>
    <mergeCell ref="M29"/>
    <mergeCell ref="N29"/>
    <mergeCell ref="O29"/>
    <mergeCell ref="S28"/>
    <mergeCell ref="T28"/>
    <mergeCell ref="U28"/>
    <mergeCell ref="V28"/>
    <mergeCell ref="W28"/>
    <mergeCell ref="N28"/>
    <mergeCell ref="O28"/>
    <mergeCell ref="P28"/>
    <mergeCell ref="E31"/>
    <mergeCell ref="F31"/>
    <mergeCell ref="G31"/>
    <mergeCell ref="H31"/>
    <mergeCell ref="W30"/>
    <mergeCell ref="X30"/>
    <mergeCell ref="Y30"/>
    <mergeCell ref="Z30"/>
    <mergeCell ref="AA30"/>
    <mergeCell ref="R30"/>
    <mergeCell ref="S30"/>
    <mergeCell ref="T30"/>
    <mergeCell ref="U30"/>
    <mergeCell ref="V30"/>
    <mergeCell ref="Z29"/>
    <mergeCell ref="AA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O30"/>
    <mergeCell ref="P30"/>
    <mergeCell ref="Q30"/>
    <mergeCell ref="U29"/>
    <mergeCell ref="V29"/>
    <mergeCell ref="X31"/>
    <mergeCell ref="Y31"/>
    <mergeCell ref="Z31"/>
    <mergeCell ref="AA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O32"/>
    <mergeCell ref="S31"/>
    <mergeCell ref="T31"/>
    <mergeCell ref="U31"/>
    <mergeCell ref="V31"/>
    <mergeCell ref="W31"/>
    <mergeCell ref="N31"/>
    <mergeCell ref="O31"/>
    <mergeCell ref="P31"/>
    <mergeCell ref="Q31"/>
    <mergeCell ref="R31"/>
    <mergeCell ref="I31"/>
    <mergeCell ref="J31"/>
    <mergeCell ref="K31"/>
    <mergeCell ref="L31"/>
    <mergeCell ref="M31"/>
    <mergeCell ref="C31:D31"/>
    <mergeCell ref="Z32"/>
    <mergeCell ref="AA32"/>
    <mergeCell ref="C33:D33"/>
    <mergeCell ref="E33"/>
    <mergeCell ref="F33"/>
    <mergeCell ref="G33"/>
    <mergeCell ref="H33"/>
    <mergeCell ref="I33"/>
    <mergeCell ref="J33"/>
    <mergeCell ref="K33"/>
    <mergeCell ref="L33"/>
    <mergeCell ref="M33"/>
    <mergeCell ref="N33"/>
    <mergeCell ref="O33"/>
    <mergeCell ref="P33"/>
    <mergeCell ref="Q33"/>
    <mergeCell ref="U32"/>
    <mergeCell ref="V32"/>
    <mergeCell ref="W32"/>
    <mergeCell ref="X32"/>
    <mergeCell ref="Y32"/>
    <mergeCell ref="P32"/>
    <mergeCell ref="Q32"/>
    <mergeCell ref="R32"/>
    <mergeCell ref="S32"/>
    <mergeCell ref="T32"/>
    <mergeCell ref="Q34"/>
    <mergeCell ref="R34"/>
    <mergeCell ref="I34"/>
    <mergeCell ref="J34"/>
    <mergeCell ref="K34"/>
    <mergeCell ref="L34"/>
    <mergeCell ref="M34"/>
    <mergeCell ref="C34:D34"/>
    <mergeCell ref="E34"/>
    <mergeCell ref="F34"/>
    <mergeCell ref="G34"/>
    <mergeCell ref="H34"/>
    <mergeCell ref="W33"/>
    <mergeCell ref="X33"/>
    <mergeCell ref="Y33"/>
    <mergeCell ref="Z33"/>
    <mergeCell ref="AA33"/>
    <mergeCell ref="R33"/>
    <mergeCell ref="S33"/>
    <mergeCell ref="T33"/>
    <mergeCell ref="U33"/>
    <mergeCell ref="V33"/>
    <mergeCell ref="W35"/>
    <mergeCell ref="X35"/>
    <mergeCell ref="Y35"/>
    <mergeCell ref="P35"/>
    <mergeCell ref="Q35"/>
    <mergeCell ref="R35"/>
    <mergeCell ref="S35"/>
    <mergeCell ref="T35"/>
    <mergeCell ref="X34"/>
    <mergeCell ref="Y34"/>
    <mergeCell ref="Z34"/>
    <mergeCell ref="AA34"/>
    <mergeCell ref="C35:D35"/>
    <mergeCell ref="E35"/>
    <mergeCell ref="F35"/>
    <mergeCell ref="G35"/>
    <mergeCell ref="H35"/>
    <mergeCell ref="I35"/>
    <mergeCell ref="J35"/>
    <mergeCell ref="K35"/>
    <mergeCell ref="L35"/>
    <mergeCell ref="M35"/>
    <mergeCell ref="N35"/>
    <mergeCell ref="O35"/>
    <mergeCell ref="S34"/>
    <mergeCell ref="T34"/>
    <mergeCell ref="U34"/>
    <mergeCell ref="V34"/>
    <mergeCell ref="W34"/>
    <mergeCell ref="N34"/>
    <mergeCell ref="O34"/>
    <mergeCell ref="P34"/>
    <mergeCell ref="E37"/>
    <mergeCell ref="F37"/>
    <mergeCell ref="G37"/>
    <mergeCell ref="H37"/>
    <mergeCell ref="W36"/>
    <mergeCell ref="X36"/>
    <mergeCell ref="Y36"/>
    <mergeCell ref="Z36"/>
    <mergeCell ref="AA36"/>
    <mergeCell ref="R36"/>
    <mergeCell ref="S36"/>
    <mergeCell ref="T36"/>
    <mergeCell ref="U36"/>
    <mergeCell ref="V36"/>
    <mergeCell ref="Z35"/>
    <mergeCell ref="AA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O36"/>
    <mergeCell ref="P36"/>
    <mergeCell ref="Q36"/>
    <mergeCell ref="U35"/>
    <mergeCell ref="V35"/>
    <mergeCell ref="X37"/>
    <mergeCell ref="Y37"/>
    <mergeCell ref="Z37"/>
    <mergeCell ref="AA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O38"/>
    <mergeCell ref="S37"/>
    <mergeCell ref="T37"/>
    <mergeCell ref="U37"/>
    <mergeCell ref="V37"/>
    <mergeCell ref="W37"/>
    <mergeCell ref="N37"/>
    <mergeCell ref="O37"/>
    <mergeCell ref="P37"/>
    <mergeCell ref="Q37"/>
    <mergeCell ref="R37"/>
    <mergeCell ref="I37"/>
    <mergeCell ref="J37"/>
    <mergeCell ref="K37"/>
    <mergeCell ref="L37"/>
    <mergeCell ref="M37"/>
    <mergeCell ref="C37:D37"/>
    <mergeCell ref="Z38"/>
    <mergeCell ref="AA38"/>
    <mergeCell ref="C39:D39"/>
    <mergeCell ref="E39"/>
    <mergeCell ref="F39"/>
    <mergeCell ref="G39"/>
    <mergeCell ref="H39"/>
    <mergeCell ref="I39"/>
    <mergeCell ref="J39"/>
    <mergeCell ref="K39"/>
    <mergeCell ref="L39"/>
    <mergeCell ref="M39"/>
    <mergeCell ref="N39"/>
    <mergeCell ref="O39"/>
    <mergeCell ref="P39"/>
    <mergeCell ref="Q39"/>
    <mergeCell ref="U38"/>
    <mergeCell ref="V38"/>
    <mergeCell ref="W38"/>
    <mergeCell ref="X38"/>
    <mergeCell ref="Y38"/>
    <mergeCell ref="P38"/>
    <mergeCell ref="Q38"/>
    <mergeCell ref="R38"/>
    <mergeCell ref="S38"/>
    <mergeCell ref="T38"/>
    <mergeCell ref="Q40"/>
    <mergeCell ref="R40"/>
    <mergeCell ref="I40"/>
    <mergeCell ref="J40"/>
    <mergeCell ref="K40"/>
    <mergeCell ref="L40"/>
    <mergeCell ref="M40"/>
    <mergeCell ref="C40:D40"/>
    <mergeCell ref="E40"/>
    <mergeCell ref="F40"/>
    <mergeCell ref="G40"/>
    <mergeCell ref="H40"/>
    <mergeCell ref="W39"/>
    <mergeCell ref="X39"/>
    <mergeCell ref="Y39"/>
    <mergeCell ref="Z39"/>
    <mergeCell ref="AA39"/>
    <mergeCell ref="R39"/>
    <mergeCell ref="S39"/>
    <mergeCell ref="T39"/>
    <mergeCell ref="U39"/>
    <mergeCell ref="V39"/>
    <mergeCell ref="W41"/>
    <mergeCell ref="X41"/>
    <mergeCell ref="Y41"/>
    <mergeCell ref="P41"/>
    <mergeCell ref="Q41"/>
    <mergeCell ref="R41"/>
    <mergeCell ref="S41"/>
    <mergeCell ref="T41"/>
    <mergeCell ref="X40"/>
    <mergeCell ref="Y40"/>
    <mergeCell ref="Z40"/>
    <mergeCell ref="AA40"/>
    <mergeCell ref="C41:D41"/>
    <mergeCell ref="E41"/>
    <mergeCell ref="F41"/>
    <mergeCell ref="G41"/>
    <mergeCell ref="H41"/>
    <mergeCell ref="I41"/>
    <mergeCell ref="J41"/>
    <mergeCell ref="K41"/>
    <mergeCell ref="L41"/>
    <mergeCell ref="M41"/>
    <mergeCell ref="N41"/>
    <mergeCell ref="O41"/>
    <mergeCell ref="S40"/>
    <mergeCell ref="T40"/>
    <mergeCell ref="U40"/>
    <mergeCell ref="V40"/>
    <mergeCell ref="W40"/>
    <mergeCell ref="N40"/>
    <mergeCell ref="O40"/>
    <mergeCell ref="P40"/>
    <mergeCell ref="E43"/>
    <mergeCell ref="F43"/>
    <mergeCell ref="G43"/>
    <mergeCell ref="H43"/>
    <mergeCell ref="W42"/>
    <mergeCell ref="X42"/>
    <mergeCell ref="Y42"/>
    <mergeCell ref="Z42"/>
    <mergeCell ref="AA42"/>
    <mergeCell ref="R42"/>
    <mergeCell ref="S42"/>
    <mergeCell ref="T42"/>
    <mergeCell ref="U42"/>
    <mergeCell ref="V42"/>
    <mergeCell ref="Z41"/>
    <mergeCell ref="AA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O42"/>
    <mergeCell ref="P42"/>
    <mergeCell ref="Q42"/>
    <mergeCell ref="U41"/>
    <mergeCell ref="V41"/>
    <mergeCell ref="X43"/>
    <mergeCell ref="Y43"/>
    <mergeCell ref="Z43"/>
    <mergeCell ref="AA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O44"/>
    <mergeCell ref="S43"/>
    <mergeCell ref="T43"/>
    <mergeCell ref="U43"/>
    <mergeCell ref="V43"/>
    <mergeCell ref="W43"/>
    <mergeCell ref="N43"/>
    <mergeCell ref="O43"/>
    <mergeCell ref="P43"/>
    <mergeCell ref="Q43"/>
    <mergeCell ref="R43"/>
    <mergeCell ref="I43"/>
    <mergeCell ref="J43"/>
    <mergeCell ref="K43"/>
    <mergeCell ref="L43"/>
    <mergeCell ref="M43"/>
    <mergeCell ref="C43:D43"/>
    <mergeCell ref="Z44"/>
    <mergeCell ref="AA44"/>
    <mergeCell ref="C45:D45"/>
    <mergeCell ref="E45"/>
    <mergeCell ref="F45"/>
    <mergeCell ref="G45"/>
    <mergeCell ref="H45"/>
    <mergeCell ref="I45"/>
    <mergeCell ref="J45"/>
    <mergeCell ref="K45"/>
    <mergeCell ref="L45"/>
    <mergeCell ref="M45"/>
    <mergeCell ref="N45"/>
    <mergeCell ref="O45"/>
    <mergeCell ref="P45"/>
    <mergeCell ref="Q45"/>
    <mergeCell ref="U44"/>
    <mergeCell ref="V44"/>
    <mergeCell ref="W44"/>
    <mergeCell ref="X44"/>
    <mergeCell ref="Y44"/>
    <mergeCell ref="P44"/>
    <mergeCell ref="Q44"/>
    <mergeCell ref="R44"/>
    <mergeCell ref="S44"/>
    <mergeCell ref="T44"/>
    <mergeCell ref="Q46"/>
    <mergeCell ref="R46"/>
    <mergeCell ref="I46"/>
    <mergeCell ref="J46"/>
    <mergeCell ref="K46"/>
    <mergeCell ref="L46"/>
    <mergeCell ref="M46"/>
    <mergeCell ref="C46:D46"/>
    <mergeCell ref="E46"/>
    <mergeCell ref="F46"/>
    <mergeCell ref="G46"/>
    <mergeCell ref="H46"/>
    <mergeCell ref="W45"/>
    <mergeCell ref="X45"/>
    <mergeCell ref="Y45"/>
    <mergeCell ref="Z45"/>
    <mergeCell ref="AA45"/>
    <mergeCell ref="R45"/>
    <mergeCell ref="S45"/>
    <mergeCell ref="T45"/>
    <mergeCell ref="U45"/>
    <mergeCell ref="V45"/>
    <mergeCell ref="W47"/>
    <mergeCell ref="X47"/>
    <mergeCell ref="Y47"/>
    <mergeCell ref="P47"/>
    <mergeCell ref="Q47"/>
    <mergeCell ref="R47"/>
    <mergeCell ref="S47"/>
    <mergeCell ref="T47"/>
    <mergeCell ref="X46"/>
    <mergeCell ref="Y46"/>
    <mergeCell ref="Z46"/>
    <mergeCell ref="AA46"/>
    <mergeCell ref="C47:D47"/>
    <mergeCell ref="E47"/>
    <mergeCell ref="F47"/>
    <mergeCell ref="G47"/>
    <mergeCell ref="H47"/>
    <mergeCell ref="I47"/>
    <mergeCell ref="J47"/>
    <mergeCell ref="K47"/>
    <mergeCell ref="L47"/>
    <mergeCell ref="M47"/>
    <mergeCell ref="N47"/>
    <mergeCell ref="O47"/>
    <mergeCell ref="S46"/>
    <mergeCell ref="T46"/>
    <mergeCell ref="U46"/>
    <mergeCell ref="V46"/>
    <mergeCell ref="W46"/>
    <mergeCell ref="N46"/>
    <mergeCell ref="O46"/>
    <mergeCell ref="P46"/>
    <mergeCell ref="E49"/>
    <mergeCell ref="F49"/>
    <mergeCell ref="G49"/>
    <mergeCell ref="H49"/>
    <mergeCell ref="W48"/>
    <mergeCell ref="X48"/>
    <mergeCell ref="Y48"/>
    <mergeCell ref="Z48"/>
    <mergeCell ref="AA48"/>
    <mergeCell ref="R48"/>
    <mergeCell ref="S48"/>
    <mergeCell ref="T48"/>
    <mergeCell ref="U48"/>
    <mergeCell ref="V48"/>
    <mergeCell ref="Z47"/>
    <mergeCell ref="AA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O48"/>
    <mergeCell ref="P48"/>
    <mergeCell ref="Q48"/>
    <mergeCell ref="U47"/>
    <mergeCell ref="V47"/>
    <mergeCell ref="X49"/>
    <mergeCell ref="Y49"/>
    <mergeCell ref="Z49"/>
    <mergeCell ref="AA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O50"/>
    <mergeCell ref="S49"/>
    <mergeCell ref="T49"/>
    <mergeCell ref="U49"/>
    <mergeCell ref="V49"/>
    <mergeCell ref="W49"/>
    <mergeCell ref="N49"/>
    <mergeCell ref="O49"/>
    <mergeCell ref="P49"/>
    <mergeCell ref="Q49"/>
    <mergeCell ref="R49"/>
    <mergeCell ref="I49"/>
    <mergeCell ref="J49"/>
    <mergeCell ref="K49"/>
    <mergeCell ref="L49"/>
    <mergeCell ref="M49"/>
    <mergeCell ref="C49:D49"/>
    <mergeCell ref="Z50"/>
    <mergeCell ref="AA50"/>
    <mergeCell ref="C51:D51"/>
    <mergeCell ref="E51"/>
    <mergeCell ref="F51"/>
    <mergeCell ref="G51"/>
    <mergeCell ref="H51"/>
    <mergeCell ref="I51"/>
    <mergeCell ref="J51"/>
    <mergeCell ref="K51"/>
    <mergeCell ref="L51"/>
    <mergeCell ref="M51"/>
    <mergeCell ref="N51"/>
    <mergeCell ref="O51"/>
    <mergeCell ref="P51"/>
    <mergeCell ref="Q51"/>
    <mergeCell ref="U50"/>
    <mergeCell ref="V50"/>
    <mergeCell ref="W50"/>
    <mergeCell ref="X50"/>
    <mergeCell ref="Y50"/>
    <mergeCell ref="P50"/>
    <mergeCell ref="Q50"/>
    <mergeCell ref="R50"/>
    <mergeCell ref="S50"/>
    <mergeCell ref="T50"/>
    <mergeCell ref="Q52"/>
    <mergeCell ref="R52"/>
    <mergeCell ref="I52"/>
    <mergeCell ref="J52"/>
    <mergeCell ref="K52"/>
    <mergeCell ref="L52"/>
    <mergeCell ref="M52"/>
    <mergeCell ref="C52:D52"/>
    <mergeCell ref="E52"/>
    <mergeCell ref="F52"/>
    <mergeCell ref="G52"/>
    <mergeCell ref="H52"/>
    <mergeCell ref="W51"/>
    <mergeCell ref="X51"/>
    <mergeCell ref="Y51"/>
    <mergeCell ref="Z51"/>
    <mergeCell ref="AA51"/>
    <mergeCell ref="R51"/>
    <mergeCell ref="S51"/>
    <mergeCell ref="T51"/>
    <mergeCell ref="U51"/>
    <mergeCell ref="V51"/>
    <mergeCell ref="W53"/>
    <mergeCell ref="X53"/>
    <mergeCell ref="Y53"/>
    <mergeCell ref="P53"/>
    <mergeCell ref="Q53"/>
    <mergeCell ref="R53"/>
    <mergeCell ref="S53"/>
    <mergeCell ref="T53"/>
    <mergeCell ref="X52"/>
    <mergeCell ref="Y52"/>
    <mergeCell ref="Z52"/>
    <mergeCell ref="AA52"/>
    <mergeCell ref="C53:D53"/>
    <mergeCell ref="E53"/>
    <mergeCell ref="F53"/>
    <mergeCell ref="G53"/>
    <mergeCell ref="H53"/>
    <mergeCell ref="I53"/>
    <mergeCell ref="J53"/>
    <mergeCell ref="K53"/>
    <mergeCell ref="L53"/>
    <mergeCell ref="M53"/>
    <mergeCell ref="N53"/>
    <mergeCell ref="O53"/>
    <mergeCell ref="S52"/>
    <mergeCell ref="T52"/>
    <mergeCell ref="U52"/>
    <mergeCell ref="V52"/>
    <mergeCell ref="W52"/>
    <mergeCell ref="N52"/>
    <mergeCell ref="O52"/>
    <mergeCell ref="P52"/>
    <mergeCell ref="E55"/>
    <mergeCell ref="F55"/>
    <mergeCell ref="G55"/>
    <mergeCell ref="H55"/>
    <mergeCell ref="W54"/>
    <mergeCell ref="X54"/>
    <mergeCell ref="Y54"/>
    <mergeCell ref="Z54"/>
    <mergeCell ref="AA54"/>
    <mergeCell ref="R54"/>
    <mergeCell ref="S54"/>
    <mergeCell ref="T54"/>
    <mergeCell ref="U54"/>
    <mergeCell ref="V54"/>
    <mergeCell ref="Z53"/>
    <mergeCell ref="AA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O54"/>
    <mergeCell ref="P54"/>
    <mergeCell ref="Q54"/>
    <mergeCell ref="U53"/>
    <mergeCell ref="V53"/>
    <mergeCell ref="X55"/>
    <mergeCell ref="Y55"/>
    <mergeCell ref="Z55"/>
    <mergeCell ref="AA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O56"/>
    <mergeCell ref="S55"/>
    <mergeCell ref="T55"/>
    <mergeCell ref="U55"/>
    <mergeCell ref="V55"/>
    <mergeCell ref="W55"/>
    <mergeCell ref="N55"/>
    <mergeCell ref="O55"/>
    <mergeCell ref="P55"/>
    <mergeCell ref="Q55"/>
    <mergeCell ref="R55"/>
    <mergeCell ref="I55"/>
    <mergeCell ref="J55"/>
    <mergeCell ref="K55"/>
    <mergeCell ref="L55"/>
    <mergeCell ref="M55"/>
    <mergeCell ref="C55:D55"/>
    <mergeCell ref="Z56"/>
    <mergeCell ref="AA56"/>
    <mergeCell ref="C57:D57"/>
    <mergeCell ref="E57"/>
    <mergeCell ref="F57"/>
    <mergeCell ref="G57"/>
    <mergeCell ref="H57"/>
    <mergeCell ref="I57"/>
    <mergeCell ref="J57"/>
    <mergeCell ref="K57"/>
    <mergeCell ref="L57"/>
    <mergeCell ref="M57"/>
    <mergeCell ref="N57"/>
    <mergeCell ref="O57"/>
    <mergeCell ref="P57"/>
    <mergeCell ref="Q57"/>
    <mergeCell ref="U56"/>
    <mergeCell ref="V56"/>
    <mergeCell ref="W56"/>
    <mergeCell ref="X56"/>
    <mergeCell ref="Y56"/>
    <mergeCell ref="P56"/>
    <mergeCell ref="Q56"/>
    <mergeCell ref="R56"/>
    <mergeCell ref="S56"/>
    <mergeCell ref="T56"/>
    <mergeCell ref="Q58"/>
    <mergeCell ref="R58"/>
    <mergeCell ref="I58"/>
    <mergeCell ref="J58"/>
    <mergeCell ref="K58"/>
    <mergeCell ref="L58"/>
    <mergeCell ref="M58"/>
    <mergeCell ref="C58:D58"/>
    <mergeCell ref="E58"/>
    <mergeCell ref="F58"/>
    <mergeCell ref="G58"/>
    <mergeCell ref="H58"/>
    <mergeCell ref="W57"/>
    <mergeCell ref="X57"/>
    <mergeCell ref="Y57"/>
    <mergeCell ref="Z57"/>
    <mergeCell ref="AA57"/>
    <mergeCell ref="R57"/>
    <mergeCell ref="S57"/>
    <mergeCell ref="T57"/>
    <mergeCell ref="U57"/>
    <mergeCell ref="V57"/>
    <mergeCell ref="W59"/>
    <mergeCell ref="X59"/>
    <mergeCell ref="Y59"/>
    <mergeCell ref="P59"/>
    <mergeCell ref="Q59"/>
    <mergeCell ref="R59"/>
    <mergeCell ref="S59"/>
    <mergeCell ref="T59"/>
    <mergeCell ref="X58"/>
    <mergeCell ref="Y58"/>
    <mergeCell ref="Z58"/>
    <mergeCell ref="AA58"/>
    <mergeCell ref="C59:D59"/>
    <mergeCell ref="E59"/>
    <mergeCell ref="F59"/>
    <mergeCell ref="G59"/>
    <mergeCell ref="H59"/>
    <mergeCell ref="I59"/>
    <mergeCell ref="J59"/>
    <mergeCell ref="K59"/>
    <mergeCell ref="L59"/>
    <mergeCell ref="M59"/>
    <mergeCell ref="N59"/>
    <mergeCell ref="O59"/>
    <mergeCell ref="S58"/>
    <mergeCell ref="T58"/>
    <mergeCell ref="U58"/>
    <mergeCell ref="V58"/>
    <mergeCell ref="W58"/>
    <mergeCell ref="N58"/>
    <mergeCell ref="O58"/>
    <mergeCell ref="P58"/>
    <mergeCell ref="E61"/>
    <mergeCell ref="F61"/>
    <mergeCell ref="G61"/>
    <mergeCell ref="H61"/>
    <mergeCell ref="W60"/>
    <mergeCell ref="X60"/>
    <mergeCell ref="Y60"/>
    <mergeCell ref="Z60"/>
    <mergeCell ref="AA60"/>
    <mergeCell ref="R60"/>
    <mergeCell ref="S60"/>
    <mergeCell ref="T60"/>
    <mergeCell ref="U60"/>
    <mergeCell ref="V60"/>
    <mergeCell ref="Z59"/>
    <mergeCell ref="AA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O60"/>
    <mergeCell ref="P60"/>
    <mergeCell ref="Q60"/>
    <mergeCell ref="U59"/>
    <mergeCell ref="V59"/>
    <mergeCell ref="X61"/>
    <mergeCell ref="Y61"/>
    <mergeCell ref="Z61"/>
    <mergeCell ref="AA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O62"/>
    <mergeCell ref="S61"/>
    <mergeCell ref="T61"/>
    <mergeCell ref="U61"/>
    <mergeCell ref="V61"/>
    <mergeCell ref="W61"/>
    <mergeCell ref="N61"/>
    <mergeCell ref="O61"/>
    <mergeCell ref="P61"/>
    <mergeCell ref="Q61"/>
    <mergeCell ref="R61"/>
    <mergeCell ref="I61"/>
    <mergeCell ref="J61"/>
    <mergeCell ref="K61"/>
    <mergeCell ref="L61"/>
    <mergeCell ref="M61"/>
    <mergeCell ref="C61:D61"/>
    <mergeCell ref="Z62"/>
    <mergeCell ref="AA62"/>
    <mergeCell ref="C63:D63"/>
    <mergeCell ref="E63"/>
    <mergeCell ref="F63"/>
    <mergeCell ref="G63"/>
    <mergeCell ref="H63"/>
    <mergeCell ref="I63"/>
    <mergeCell ref="J63"/>
    <mergeCell ref="K63"/>
    <mergeCell ref="L63"/>
    <mergeCell ref="M63"/>
    <mergeCell ref="N63"/>
    <mergeCell ref="O63"/>
    <mergeCell ref="P63"/>
    <mergeCell ref="Q63"/>
    <mergeCell ref="U62"/>
    <mergeCell ref="V62"/>
    <mergeCell ref="W62"/>
    <mergeCell ref="X62"/>
    <mergeCell ref="Y62"/>
    <mergeCell ref="P62"/>
    <mergeCell ref="Q62"/>
    <mergeCell ref="R62"/>
    <mergeCell ref="S62"/>
    <mergeCell ref="T62"/>
    <mergeCell ref="Q64"/>
    <mergeCell ref="R64"/>
    <mergeCell ref="I64"/>
    <mergeCell ref="J64"/>
    <mergeCell ref="K64"/>
    <mergeCell ref="L64"/>
    <mergeCell ref="M64"/>
    <mergeCell ref="C64:D64"/>
    <mergeCell ref="E64"/>
    <mergeCell ref="F64"/>
    <mergeCell ref="G64"/>
    <mergeCell ref="H64"/>
    <mergeCell ref="W63"/>
    <mergeCell ref="X63"/>
    <mergeCell ref="Y63"/>
    <mergeCell ref="Z63"/>
    <mergeCell ref="AA63"/>
    <mergeCell ref="R63"/>
    <mergeCell ref="S63"/>
    <mergeCell ref="T63"/>
    <mergeCell ref="U63"/>
    <mergeCell ref="V63"/>
    <mergeCell ref="W65"/>
    <mergeCell ref="X65"/>
    <mergeCell ref="Y65"/>
    <mergeCell ref="P65"/>
    <mergeCell ref="Q65"/>
    <mergeCell ref="R65"/>
    <mergeCell ref="S65"/>
    <mergeCell ref="T65"/>
    <mergeCell ref="X64"/>
    <mergeCell ref="Y64"/>
    <mergeCell ref="Z64"/>
    <mergeCell ref="AA64"/>
    <mergeCell ref="C65:D65"/>
    <mergeCell ref="E65"/>
    <mergeCell ref="F65"/>
    <mergeCell ref="G65"/>
    <mergeCell ref="H65"/>
    <mergeCell ref="I65"/>
    <mergeCell ref="J65"/>
    <mergeCell ref="K65"/>
    <mergeCell ref="L65"/>
    <mergeCell ref="M65"/>
    <mergeCell ref="N65"/>
    <mergeCell ref="O65"/>
    <mergeCell ref="S64"/>
    <mergeCell ref="T64"/>
    <mergeCell ref="U64"/>
    <mergeCell ref="V64"/>
    <mergeCell ref="W64"/>
    <mergeCell ref="N64"/>
    <mergeCell ref="O64"/>
    <mergeCell ref="P64"/>
    <mergeCell ref="E67"/>
    <mergeCell ref="F67"/>
    <mergeCell ref="G67"/>
    <mergeCell ref="H67"/>
    <mergeCell ref="W66"/>
    <mergeCell ref="X66"/>
    <mergeCell ref="Y66"/>
    <mergeCell ref="Z66"/>
    <mergeCell ref="AA66"/>
    <mergeCell ref="R66"/>
    <mergeCell ref="S66"/>
    <mergeCell ref="T66"/>
    <mergeCell ref="U66"/>
    <mergeCell ref="V66"/>
    <mergeCell ref="Z65"/>
    <mergeCell ref="AA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O66"/>
    <mergeCell ref="P66"/>
    <mergeCell ref="Q66"/>
    <mergeCell ref="U65"/>
    <mergeCell ref="V65"/>
    <mergeCell ref="X67"/>
    <mergeCell ref="Y67"/>
    <mergeCell ref="Z67"/>
    <mergeCell ref="AA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O68"/>
    <mergeCell ref="S67"/>
    <mergeCell ref="T67"/>
    <mergeCell ref="U67"/>
    <mergeCell ref="V67"/>
    <mergeCell ref="W67"/>
    <mergeCell ref="N67"/>
    <mergeCell ref="O67"/>
    <mergeCell ref="P67"/>
    <mergeCell ref="Q67"/>
    <mergeCell ref="R67"/>
    <mergeCell ref="I67"/>
    <mergeCell ref="J67"/>
    <mergeCell ref="K67"/>
    <mergeCell ref="L67"/>
    <mergeCell ref="M67"/>
    <mergeCell ref="C67:D67"/>
    <mergeCell ref="Z68"/>
    <mergeCell ref="AA68"/>
    <mergeCell ref="C69:D69"/>
    <mergeCell ref="E69"/>
    <mergeCell ref="F69"/>
    <mergeCell ref="G69"/>
    <mergeCell ref="H69"/>
    <mergeCell ref="I69"/>
    <mergeCell ref="J69"/>
    <mergeCell ref="K69"/>
    <mergeCell ref="L69"/>
    <mergeCell ref="M69"/>
    <mergeCell ref="N69"/>
    <mergeCell ref="O69"/>
    <mergeCell ref="P69"/>
    <mergeCell ref="Q69"/>
    <mergeCell ref="U68"/>
    <mergeCell ref="V68"/>
    <mergeCell ref="W68"/>
    <mergeCell ref="X68"/>
    <mergeCell ref="Y68"/>
    <mergeCell ref="P68"/>
    <mergeCell ref="Q68"/>
    <mergeCell ref="R68"/>
    <mergeCell ref="S68"/>
    <mergeCell ref="T68"/>
    <mergeCell ref="Q70"/>
    <mergeCell ref="R70"/>
    <mergeCell ref="I70"/>
    <mergeCell ref="J70"/>
    <mergeCell ref="K70"/>
    <mergeCell ref="L70"/>
    <mergeCell ref="M70"/>
    <mergeCell ref="C70:D70"/>
    <mergeCell ref="E70"/>
    <mergeCell ref="F70"/>
    <mergeCell ref="G70"/>
    <mergeCell ref="H70"/>
    <mergeCell ref="W69"/>
    <mergeCell ref="X69"/>
    <mergeCell ref="Y69"/>
    <mergeCell ref="Z69"/>
    <mergeCell ref="AA69"/>
    <mergeCell ref="R69"/>
    <mergeCell ref="S69"/>
    <mergeCell ref="T69"/>
    <mergeCell ref="U69"/>
    <mergeCell ref="V69"/>
    <mergeCell ref="W71"/>
    <mergeCell ref="X71"/>
    <mergeCell ref="Y71"/>
    <mergeCell ref="P71"/>
    <mergeCell ref="Q71"/>
    <mergeCell ref="R71"/>
    <mergeCell ref="S71"/>
    <mergeCell ref="T71"/>
    <mergeCell ref="X70"/>
    <mergeCell ref="Y70"/>
    <mergeCell ref="Z70"/>
    <mergeCell ref="AA70"/>
    <mergeCell ref="C71:D71"/>
    <mergeCell ref="E71"/>
    <mergeCell ref="F71"/>
    <mergeCell ref="G71"/>
    <mergeCell ref="H71"/>
    <mergeCell ref="I71"/>
    <mergeCell ref="J71"/>
    <mergeCell ref="K71"/>
    <mergeCell ref="L71"/>
    <mergeCell ref="M71"/>
    <mergeCell ref="N71"/>
    <mergeCell ref="O71"/>
    <mergeCell ref="S70"/>
    <mergeCell ref="T70"/>
    <mergeCell ref="U70"/>
    <mergeCell ref="V70"/>
    <mergeCell ref="W70"/>
    <mergeCell ref="N70"/>
    <mergeCell ref="O70"/>
    <mergeCell ref="P70"/>
    <mergeCell ref="E73"/>
    <mergeCell ref="F73"/>
    <mergeCell ref="G73"/>
    <mergeCell ref="H73"/>
    <mergeCell ref="W72"/>
    <mergeCell ref="X72"/>
    <mergeCell ref="Y72"/>
    <mergeCell ref="Z72"/>
    <mergeCell ref="AA72"/>
    <mergeCell ref="R72"/>
    <mergeCell ref="S72"/>
    <mergeCell ref="T72"/>
    <mergeCell ref="U72"/>
    <mergeCell ref="V72"/>
    <mergeCell ref="Z71"/>
    <mergeCell ref="AA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O72"/>
    <mergeCell ref="P72"/>
    <mergeCell ref="Q72"/>
    <mergeCell ref="U71"/>
    <mergeCell ref="V71"/>
    <mergeCell ref="X73"/>
    <mergeCell ref="Y73"/>
    <mergeCell ref="Z73"/>
    <mergeCell ref="AA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O74"/>
    <mergeCell ref="S73"/>
    <mergeCell ref="T73"/>
    <mergeCell ref="U73"/>
    <mergeCell ref="V73"/>
    <mergeCell ref="W73"/>
    <mergeCell ref="N73"/>
    <mergeCell ref="O73"/>
    <mergeCell ref="P73"/>
    <mergeCell ref="Q73"/>
    <mergeCell ref="R73"/>
    <mergeCell ref="I73"/>
    <mergeCell ref="J73"/>
    <mergeCell ref="K73"/>
    <mergeCell ref="L73"/>
    <mergeCell ref="M73"/>
    <mergeCell ref="C73:D73"/>
    <mergeCell ref="Z74"/>
    <mergeCell ref="AA74"/>
    <mergeCell ref="C75:D75"/>
    <mergeCell ref="E75"/>
    <mergeCell ref="F75"/>
    <mergeCell ref="G75"/>
    <mergeCell ref="H75"/>
    <mergeCell ref="I75"/>
    <mergeCell ref="J75"/>
    <mergeCell ref="K75"/>
    <mergeCell ref="L75"/>
    <mergeCell ref="M75"/>
    <mergeCell ref="N75"/>
    <mergeCell ref="O75"/>
    <mergeCell ref="P75"/>
    <mergeCell ref="Q75"/>
    <mergeCell ref="U74"/>
    <mergeCell ref="V74"/>
    <mergeCell ref="W74"/>
    <mergeCell ref="X74"/>
    <mergeCell ref="Y74"/>
    <mergeCell ref="P74"/>
    <mergeCell ref="Q74"/>
    <mergeCell ref="R74"/>
    <mergeCell ref="S74"/>
    <mergeCell ref="T74"/>
    <mergeCell ref="Q76"/>
    <mergeCell ref="R76"/>
    <mergeCell ref="I76"/>
    <mergeCell ref="J76"/>
    <mergeCell ref="K76"/>
    <mergeCell ref="L76"/>
    <mergeCell ref="M76"/>
    <mergeCell ref="C76:D76"/>
    <mergeCell ref="E76"/>
    <mergeCell ref="F76"/>
    <mergeCell ref="G76"/>
    <mergeCell ref="H76"/>
    <mergeCell ref="W75"/>
    <mergeCell ref="X75"/>
    <mergeCell ref="Y75"/>
    <mergeCell ref="Z75"/>
    <mergeCell ref="AA75"/>
    <mergeCell ref="R75"/>
    <mergeCell ref="S75"/>
    <mergeCell ref="T75"/>
    <mergeCell ref="U75"/>
    <mergeCell ref="V75"/>
    <mergeCell ref="W77"/>
    <mergeCell ref="X77"/>
    <mergeCell ref="Y77"/>
    <mergeCell ref="P77"/>
    <mergeCell ref="Q77"/>
    <mergeCell ref="R77"/>
    <mergeCell ref="S77"/>
    <mergeCell ref="T77"/>
    <mergeCell ref="X76"/>
    <mergeCell ref="Y76"/>
    <mergeCell ref="Z76"/>
    <mergeCell ref="AA76"/>
    <mergeCell ref="C77:D77"/>
    <mergeCell ref="E77"/>
    <mergeCell ref="F77"/>
    <mergeCell ref="G77"/>
    <mergeCell ref="H77"/>
    <mergeCell ref="I77"/>
    <mergeCell ref="J77"/>
    <mergeCell ref="K77"/>
    <mergeCell ref="L77"/>
    <mergeCell ref="M77"/>
    <mergeCell ref="N77"/>
    <mergeCell ref="O77"/>
    <mergeCell ref="S76"/>
    <mergeCell ref="T76"/>
    <mergeCell ref="U76"/>
    <mergeCell ref="V76"/>
    <mergeCell ref="W76"/>
    <mergeCell ref="N76"/>
    <mergeCell ref="O76"/>
    <mergeCell ref="P76"/>
    <mergeCell ref="E79"/>
    <mergeCell ref="F79"/>
    <mergeCell ref="G79"/>
    <mergeCell ref="H79"/>
    <mergeCell ref="W78"/>
    <mergeCell ref="X78"/>
    <mergeCell ref="Y78"/>
    <mergeCell ref="Z78"/>
    <mergeCell ref="AA78"/>
    <mergeCell ref="R78"/>
    <mergeCell ref="S78"/>
    <mergeCell ref="T78"/>
    <mergeCell ref="U78"/>
    <mergeCell ref="V78"/>
    <mergeCell ref="Z77"/>
    <mergeCell ref="AA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O78"/>
    <mergeCell ref="P78"/>
    <mergeCell ref="Q78"/>
    <mergeCell ref="U77"/>
    <mergeCell ref="V77"/>
    <mergeCell ref="X79"/>
    <mergeCell ref="Y79"/>
    <mergeCell ref="Z79"/>
    <mergeCell ref="AA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O80"/>
    <mergeCell ref="S79"/>
    <mergeCell ref="T79"/>
    <mergeCell ref="U79"/>
    <mergeCell ref="V79"/>
    <mergeCell ref="W79"/>
    <mergeCell ref="N79"/>
    <mergeCell ref="O79"/>
    <mergeCell ref="P79"/>
    <mergeCell ref="Q79"/>
    <mergeCell ref="R79"/>
    <mergeCell ref="I79"/>
    <mergeCell ref="J79"/>
    <mergeCell ref="K79"/>
    <mergeCell ref="L79"/>
    <mergeCell ref="M79"/>
    <mergeCell ref="C79:D79"/>
    <mergeCell ref="Z80"/>
    <mergeCell ref="AA80"/>
    <mergeCell ref="C81:D81"/>
    <mergeCell ref="E81"/>
    <mergeCell ref="F81"/>
    <mergeCell ref="G81"/>
    <mergeCell ref="H81"/>
    <mergeCell ref="I81"/>
    <mergeCell ref="J81"/>
    <mergeCell ref="K81"/>
    <mergeCell ref="L81"/>
    <mergeCell ref="M81"/>
    <mergeCell ref="N81"/>
    <mergeCell ref="O81"/>
    <mergeCell ref="P81"/>
    <mergeCell ref="Q81"/>
    <mergeCell ref="U80"/>
    <mergeCell ref="V80"/>
    <mergeCell ref="W80"/>
    <mergeCell ref="X80"/>
    <mergeCell ref="Y80"/>
    <mergeCell ref="P80"/>
    <mergeCell ref="Q80"/>
    <mergeCell ref="R80"/>
    <mergeCell ref="S80"/>
    <mergeCell ref="T80"/>
    <mergeCell ref="Q82"/>
    <mergeCell ref="R82"/>
    <mergeCell ref="I82"/>
    <mergeCell ref="J82"/>
    <mergeCell ref="K82"/>
    <mergeCell ref="L82"/>
    <mergeCell ref="M82"/>
    <mergeCell ref="C82:D82"/>
    <mergeCell ref="E82"/>
    <mergeCell ref="F82"/>
    <mergeCell ref="G82"/>
    <mergeCell ref="H82"/>
    <mergeCell ref="W81"/>
    <mergeCell ref="X81"/>
    <mergeCell ref="Y81"/>
    <mergeCell ref="Z81"/>
    <mergeCell ref="AA81"/>
    <mergeCell ref="R81"/>
    <mergeCell ref="S81"/>
    <mergeCell ref="T81"/>
    <mergeCell ref="U81"/>
    <mergeCell ref="V81"/>
    <mergeCell ref="W83"/>
    <mergeCell ref="X83"/>
    <mergeCell ref="Y83"/>
    <mergeCell ref="P83"/>
    <mergeCell ref="Q83"/>
    <mergeCell ref="R83"/>
    <mergeCell ref="S83"/>
    <mergeCell ref="T83"/>
    <mergeCell ref="X82"/>
    <mergeCell ref="Y82"/>
    <mergeCell ref="Z82"/>
    <mergeCell ref="AA82"/>
    <mergeCell ref="C83:D83"/>
    <mergeCell ref="E83"/>
    <mergeCell ref="F83"/>
    <mergeCell ref="G83"/>
    <mergeCell ref="H83"/>
    <mergeCell ref="I83"/>
    <mergeCell ref="J83"/>
    <mergeCell ref="K83"/>
    <mergeCell ref="L83"/>
    <mergeCell ref="M83"/>
    <mergeCell ref="N83"/>
    <mergeCell ref="O83"/>
    <mergeCell ref="S82"/>
    <mergeCell ref="T82"/>
    <mergeCell ref="U82"/>
    <mergeCell ref="V82"/>
    <mergeCell ref="W82"/>
    <mergeCell ref="N82"/>
    <mergeCell ref="O82"/>
    <mergeCell ref="P82"/>
    <mergeCell ref="E85"/>
    <mergeCell ref="F85"/>
    <mergeCell ref="G85"/>
    <mergeCell ref="H85"/>
    <mergeCell ref="W84"/>
    <mergeCell ref="X84"/>
    <mergeCell ref="Y84"/>
    <mergeCell ref="Z84"/>
    <mergeCell ref="AA84"/>
    <mergeCell ref="R84"/>
    <mergeCell ref="S84"/>
    <mergeCell ref="T84"/>
    <mergeCell ref="U84"/>
    <mergeCell ref="V84"/>
    <mergeCell ref="Z83"/>
    <mergeCell ref="AA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O84"/>
    <mergeCell ref="P84"/>
    <mergeCell ref="Q84"/>
    <mergeCell ref="U83"/>
    <mergeCell ref="V83"/>
    <mergeCell ref="X85"/>
    <mergeCell ref="Y85"/>
    <mergeCell ref="Z85"/>
    <mergeCell ref="AA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O86"/>
    <mergeCell ref="S85"/>
    <mergeCell ref="T85"/>
    <mergeCell ref="U85"/>
    <mergeCell ref="V85"/>
    <mergeCell ref="W85"/>
    <mergeCell ref="N85"/>
    <mergeCell ref="O85"/>
    <mergeCell ref="P85"/>
    <mergeCell ref="Q85"/>
    <mergeCell ref="R85"/>
    <mergeCell ref="I85"/>
    <mergeCell ref="J85"/>
    <mergeCell ref="K85"/>
    <mergeCell ref="L85"/>
    <mergeCell ref="M85"/>
    <mergeCell ref="C85:D85"/>
    <mergeCell ref="Z86"/>
    <mergeCell ref="AA86"/>
    <mergeCell ref="C87:D87"/>
    <mergeCell ref="E87"/>
    <mergeCell ref="F87"/>
    <mergeCell ref="G87"/>
    <mergeCell ref="H87"/>
    <mergeCell ref="I87"/>
    <mergeCell ref="J87"/>
    <mergeCell ref="K87"/>
    <mergeCell ref="L87"/>
    <mergeCell ref="M87"/>
    <mergeCell ref="N87"/>
    <mergeCell ref="O87"/>
    <mergeCell ref="P87"/>
    <mergeCell ref="Q87"/>
    <mergeCell ref="U86"/>
    <mergeCell ref="V86"/>
    <mergeCell ref="W86"/>
    <mergeCell ref="X86"/>
    <mergeCell ref="Y86"/>
    <mergeCell ref="P86"/>
    <mergeCell ref="Q86"/>
    <mergeCell ref="R86"/>
    <mergeCell ref="S86"/>
    <mergeCell ref="T86"/>
    <mergeCell ref="Q88"/>
    <mergeCell ref="R88"/>
    <mergeCell ref="I88"/>
    <mergeCell ref="J88"/>
    <mergeCell ref="K88"/>
    <mergeCell ref="L88"/>
    <mergeCell ref="M88"/>
    <mergeCell ref="C88:D88"/>
    <mergeCell ref="E88"/>
    <mergeCell ref="F88"/>
    <mergeCell ref="G88"/>
    <mergeCell ref="H88"/>
    <mergeCell ref="W87"/>
    <mergeCell ref="X87"/>
    <mergeCell ref="Y87"/>
    <mergeCell ref="Z87"/>
    <mergeCell ref="AA87"/>
    <mergeCell ref="R87"/>
    <mergeCell ref="S87"/>
    <mergeCell ref="T87"/>
    <mergeCell ref="U87"/>
    <mergeCell ref="V87"/>
    <mergeCell ref="W89"/>
    <mergeCell ref="X89"/>
    <mergeCell ref="Y89"/>
    <mergeCell ref="P89"/>
    <mergeCell ref="Q89"/>
    <mergeCell ref="R89"/>
    <mergeCell ref="S89"/>
    <mergeCell ref="T89"/>
    <mergeCell ref="X88"/>
    <mergeCell ref="Y88"/>
    <mergeCell ref="Z88"/>
    <mergeCell ref="AA88"/>
    <mergeCell ref="C89:D89"/>
    <mergeCell ref="E89"/>
    <mergeCell ref="F89"/>
    <mergeCell ref="G89"/>
    <mergeCell ref="H89"/>
    <mergeCell ref="I89"/>
    <mergeCell ref="J89"/>
    <mergeCell ref="K89"/>
    <mergeCell ref="L89"/>
    <mergeCell ref="M89"/>
    <mergeCell ref="N89"/>
    <mergeCell ref="O89"/>
    <mergeCell ref="S88"/>
    <mergeCell ref="T88"/>
    <mergeCell ref="U88"/>
    <mergeCell ref="V88"/>
    <mergeCell ref="W88"/>
    <mergeCell ref="N88"/>
    <mergeCell ref="O88"/>
    <mergeCell ref="P88"/>
    <mergeCell ref="E91"/>
    <mergeCell ref="F91"/>
    <mergeCell ref="G91"/>
    <mergeCell ref="H91"/>
    <mergeCell ref="W90"/>
    <mergeCell ref="X90"/>
    <mergeCell ref="Y90"/>
    <mergeCell ref="Z90"/>
    <mergeCell ref="AA90"/>
    <mergeCell ref="R90"/>
    <mergeCell ref="S90"/>
    <mergeCell ref="T90"/>
    <mergeCell ref="U90"/>
    <mergeCell ref="V90"/>
    <mergeCell ref="Z89"/>
    <mergeCell ref="AA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O90"/>
    <mergeCell ref="P90"/>
    <mergeCell ref="Q90"/>
    <mergeCell ref="U89"/>
    <mergeCell ref="V89"/>
    <mergeCell ref="X91"/>
    <mergeCell ref="Y91"/>
    <mergeCell ref="Z91"/>
    <mergeCell ref="AA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O92"/>
    <mergeCell ref="S91"/>
    <mergeCell ref="T91"/>
    <mergeCell ref="U91"/>
    <mergeCell ref="V91"/>
    <mergeCell ref="W91"/>
    <mergeCell ref="N91"/>
    <mergeCell ref="O91"/>
    <mergeCell ref="P91"/>
    <mergeCell ref="Q91"/>
    <mergeCell ref="R91"/>
    <mergeCell ref="I91"/>
    <mergeCell ref="J91"/>
    <mergeCell ref="K91"/>
    <mergeCell ref="L91"/>
    <mergeCell ref="M91"/>
    <mergeCell ref="C91:D91"/>
    <mergeCell ref="Z92"/>
    <mergeCell ref="AA92"/>
    <mergeCell ref="C93:D93"/>
    <mergeCell ref="E93"/>
    <mergeCell ref="F93"/>
    <mergeCell ref="G93"/>
    <mergeCell ref="H93"/>
    <mergeCell ref="I93"/>
    <mergeCell ref="J93"/>
    <mergeCell ref="K93"/>
    <mergeCell ref="L93"/>
    <mergeCell ref="M93"/>
    <mergeCell ref="N93"/>
    <mergeCell ref="O93"/>
    <mergeCell ref="P93"/>
    <mergeCell ref="Q93"/>
    <mergeCell ref="U92"/>
    <mergeCell ref="V92"/>
    <mergeCell ref="W92"/>
    <mergeCell ref="X92"/>
    <mergeCell ref="Y92"/>
    <mergeCell ref="P92"/>
    <mergeCell ref="Q92"/>
    <mergeCell ref="R92"/>
    <mergeCell ref="S92"/>
    <mergeCell ref="T92"/>
    <mergeCell ref="Q94"/>
    <mergeCell ref="R94"/>
    <mergeCell ref="I94"/>
    <mergeCell ref="J94"/>
    <mergeCell ref="K94"/>
    <mergeCell ref="L94"/>
    <mergeCell ref="M94"/>
    <mergeCell ref="C94:D94"/>
    <mergeCell ref="E94"/>
    <mergeCell ref="F94"/>
    <mergeCell ref="G94"/>
    <mergeCell ref="H94"/>
    <mergeCell ref="W93"/>
    <mergeCell ref="X93"/>
    <mergeCell ref="Y93"/>
    <mergeCell ref="Z93"/>
    <mergeCell ref="AA93"/>
    <mergeCell ref="R93"/>
    <mergeCell ref="S93"/>
    <mergeCell ref="T93"/>
    <mergeCell ref="U93"/>
    <mergeCell ref="V93"/>
    <mergeCell ref="W95"/>
    <mergeCell ref="X95"/>
    <mergeCell ref="Y95"/>
    <mergeCell ref="P95"/>
    <mergeCell ref="Q95"/>
    <mergeCell ref="R95"/>
    <mergeCell ref="S95"/>
    <mergeCell ref="T95"/>
    <mergeCell ref="X94"/>
    <mergeCell ref="Y94"/>
    <mergeCell ref="Z94"/>
    <mergeCell ref="AA94"/>
    <mergeCell ref="C95:D95"/>
    <mergeCell ref="E95"/>
    <mergeCell ref="F95"/>
    <mergeCell ref="G95"/>
    <mergeCell ref="H95"/>
    <mergeCell ref="I95"/>
    <mergeCell ref="J95"/>
    <mergeCell ref="K95"/>
    <mergeCell ref="L95"/>
    <mergeCell ref="M95"/>
    <mergeCell ref="N95"/>
    <mergeCell ref="O95"/>
    <mergeCell ref="S94"/>
    <mergeCell ref="T94"/>
    <mergeCell ref="U94"/>
    <mergeCell ref="V94"/>
    <mergeCell ref="W94"/>
    <mergeCell ref="N94"/>
    <mergeCell ref="O94"/>
    <mergeCell ref="P94"/>
    <mergeCell ref="E97"/>
    <mergeCell ref="F97"/>
    <mergeCell ref="G97"/>
    <mergeCell ref="H97"/>
    <mergeCell ref="W96"/>
    <mergeCell ref="X96"/>
    <mergeCell ref="Y96"/>
    <mergeCell ref="Z96"/>
    <mergeCell ref="AA96"/>
    <mergeCell ref="R96"/>
    <mergeCell ref="S96"/>
    <mergeCell ref="T96"/>
    <mergeCell ref="U96"/>
    <mergeCell ref="V96"/>
    <mergeCell ref="Z95"/>
    <mergeCell ref="AA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O96"/>
    <mergeCell ref="P96"/>
    <mergeCell ref="Q96"/>
    <mergeCell ref="U95"/>
    <mergeCell ref="V95"/>
    <mergeCell ref="X97"/>
    <mergeCell ref="Y97"/>
    <mergeCell ref="Z97"/>
    <mergeCell ref="AA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O98"/>
    <mergeCell ref="S97"/>
    <mergeCell ref="T97"/>
    <mergeCell ref="U97"/>
    <mergeCell ref="V97"/>
    <mergeCell ref="W97"/>
    <mergeCell ref="N97"/>
    <mergeCell ref="O97"/>
    <mergeCell ref="P97"/>
    <mergeCell ref="Q97"/>
    <mergeCell ref="R97"/>
    <mergeCell ref="I97"/>
    <mergeCell ref="J97"/>
    <mergeCell ref="K97"/>
    <mergeCell ref="L97"/>
    <mergeCell ref="M97"/>
    <mergeCell ref="C97:D97"/>
    <mergeCell ref="Z98"/>
    <mergeCell ref="AA98"/>
    <mergeCell ref="C99:D99"/>
    <mergeCell ref="E99"/>
    <mergeCell ref="F99"/>
    <mergeCell ref="G99"/>
    <mergeCell ref="H99"/>
    <mergeCell ref="I99"/>
    <mergeCell ref="J99"/>
    <mergeCell ref="K99"/>
    <mergeCell ref="L99"/>
    <mergeCell ref="M99"/>
    <mergeCell ref="N99"/>
    <mergeCell ref="O99"/>
    <mergeCell ref="P99"/>
    <mergeCell ref="Q99"/>
    <mergeCell ref="U98"/>
    <mergeCell ref="V98"/>
    <mergeCell ref="W98"/>
    <mergeCell ref="X98"/>
    <mergeCell ref="Y98"/>
    <mergeCell ref="P98"/>
    <mergeCell ref="Q98"/>
    <mergeCell ref="R98"/>
    <mergeCell ref="S98"/>
    <mergeCell ref="T98"/>
    <mergeCell ref="Q100"/>
    <mergeCell ref="R100"/>
    <mergeCell ref="I100"/>
    <mergeCell ref="J100"/>
    <mergeCell ref="K100"/>
    <mergeCell ref="L100"/>
    <mergeCell ref="M100"/>
    <mergeCell ref="C100:D100"/>
    <mergeCell ref="E100"/>
    <mergeCell ref="F100"/>
    <mergeCell ref="G100"/>
    <mergeCell ref="H100"/>
    <mergeCell ref="W99"/>
    <mergeCell ref="X99"/>
    <mergeCell ref="Y99"/>
    <mergeCell ref="Z99"/>
    <mergeCell ref="AA99"/>
    <mergeCell ref="R99"/>
    <mergeCell ref="S99"/>
    <mergeCell ref="T99"/>
    <mergeCell ref="U99"/>
    <mergeCell ref="V99"/>
    <mergeCell ref="W101"/>
    <mergeCell ref="X101"/>
    <mergeCell ref="Y101"/>
    <mergeCell ref="P101"/>
    <mergeCell ref="Q101"/>
    <mergeCell ref="R101"/>
    <mergeCell ref="S101"/>
    <mergeCell ref="T101"/>
    <mergeCell ref="X100"/>
    <mergeCell ref="Y100"/>
    <mergeCell ref="Z100"/>
    <mergeCell ref="AA100"/>
    <mergeCell ref="C101:D101"/>
    <mergeCell ref="E101"/>
    <mergeCell ref="F101"/>
    <mergeCell ref="G101"/>
    <mergeCell ref="H101"/>
    <mergeCell ref="I101"/>
    <mergeCell ref="J101"/>
    <mergeCell ref="K101"/>
    <mergeCell ref="L101"/>
    <mergeCell ref="M101"/>
    <mergeCell ref="N101"/>
    <mergeCell ref="O101"/>
    <mergeCell ref="S100"/>
    <mergeCell ref="T100"/>
    <mergeCell ref="U100"/>
    <mergeCell ref="V100"/>
    <mergeCell ref="W100"/>
    <mergeCell ref="N100"/>
    <mergeCell ref="O100"/>
    <mergeCell ref="P100"/>
    <mergeCell ref="E103"/>
    <mergeCell ref="F103"/>
    <mergeCell ref="G103"/>
    <mergeCell ref="H103"/>
    <mergeCell ref="W102"/>
    <mergeCell ref="X102"/>
    <mergeCell ref="Y102"/>
    <mergeCell ref="Z102"/>
    <mergeCell ref="AA102"/>
    <mergeCell ref="R102"/>
    <mergeCell ref="S102"/>
    <mergeCell ref="T102"/>
    <mergeCell ref="U102"/>
    <mergeCell ref="V102"/>
    <mergeCell ref="Z101"/>
    <mergeCell ref="AA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O102"/>
    <mergeCell ref="P102"/>
    <mergeCell ref="Q102"/>
    <mergeCell ref="U101"/>
    <mergeCell ref="V101"/>
    <mergeCell ref="X103"/>
    <mergeCell ref="Y103"/>
    <mergeCell ref="Z103"/>
    <mergeCell ref="AA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O104"/>
    <mergeCell ref="S103"/>
    <mergeCell ref="T103"/>
    <mergeCell ref="U103"/>
    <mergeCell ref="V103"/>
    <mergeCell ref="W103"/>
    <mergeCell ref="N103"/>
    <mergeCell ref="O103"/>
    <mergeCell ref="P103"/>
    <mergeCell ref="Q103"/>
    <mergeCell ref="R103"/>
    <mergeCell ref="I103"/>
    <mergeCell ref="J103"/>
    <mergeCell ref="K103"/>
    <mergeCell ref="L103"/>
    <mergeCell ref="M103"/>
    <mergeCell ref="C103:D103"/>
    <mergeCell ref="Z104"/>
    <mergeCell ref="AA104"/>
    <mergeCell ref="C105:D105"/>
    <mergeCell ref="E105"/>
    <mergeCell ref="F105"/>
    <mergeCell ref="G105"/>
    <mergeCell ref="H105"/>
    <mergeCell ref="I105"/>
    <mergeCell ref="J105"/>
    <mergeCell ref="K105"/>
    <mergeCell ref="L105"/>
    <mergeCell ref="M105"/>
    <mergeCell ref="N105"/>
    <mergeCell ref="O105"/>
    <mergeCell ref="P105"/>
    <mergeCell ref="Q105"/>
    <mergeCell ref="U104"/>
    <mergeCell ref="V104"/>
    <mergeCell ref="W104"/>
    <mergeCell ref="X104"/>
    <mergeCell ref="Y104"/>
    <mergeCell ref="P104"/>
    <mergeCell ref="Q104"/>
    <mergeCell ref="R104"/>
    <mergeCell ref="S104"/>
    <mergeCell ref="T104"/>
    <mergeCell ref="Q106"/>
    <mergeCell ref="R106"/>
    <mergeCell ref="I106"/>
    <mergeCell ref="J106"/>
    <mergeCell ref="K106"/>
    <mergeCell ref="L106"/>
    <mergeCell ref="M106"/>
    <mergeCell ref="C106:D106"/>
    <mergeCell ref="E106"/>
    <mergeCell ref="F106"/>
    <mergeCell ref="G106"/>
    <mergeCell ref="H106"/>
    <mergeCell ref="W105"/>
    <mergeCell ref="X105"/>
    <mergeCell ref="Y105"/>
    <mergeCell ref="Z105"/>
    <mergeCell ref="AA105"/>
    <mergeCell ref="R105"/>
    <mergeCell ref="S105"/>
    <mergeCell ref="T105"/>
    <mergeCell ref="U105"/>
    <mergeCell ref="V105"/>
    <mergeCell ref="W107"/>
    <mergeCell ref="X107"/>
    <mergeCell ref="Y107"/>
    <mergeCell ref="P107"/>
    <mergeCell ref="Q107"/>
    <mergeCell ref="R107"/>
    <mergeCell ref="S107"/>
    <mergeCell ref="T107"/>
    <mergeCell ref="X106"/>
    <mergeCell ref="Y106"/>
    <mergeCell ref="Z106"/>
    <mergeCell ref="AA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M107"/>
    <mergeCell ref="N107"/>
    <mergeCell ref="O107"/>
    <mergeCell ref="S106"/>
    <mergeCell ref="T106"/>
    <mergeCell ref="U106"/>
    <mergeCell ref="V106"/>
    <mergeCell ref="W106"/>
    <mergeCell ref="N106"/>
    <mergeCell ref="O106"/>
    <mergeCell ref="P106"/>
    <mergeCell ref="E109"/>
    <mergeCell ref="F109"/>
    <mergeCell ref="G109"/>
    <mergeCell ref="H109"/>
    <mergeCell ref="W108"/>
    <mergeCell ref="X108"/>
    <mergeCell ref="Y108"/>
    <mergeCell ref="Z108"/>
    <mergeCell ref="AA108"/>
    <mergeCell ref="R108"/>
    <mergeCell ref="S108"/>
    <mergeCell ref="T108"/>
    <mergeCell ref="U108"/>
    <mergeCell ref="V108"/>
    <mergeCell ref="Z107"/>
    <mergeCell ref="AA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O108"/>
    <mergeCell ref="P108"/>
    <mergeCell ref="Q108"/>
    <mergeCell ref="U107"/>
    <mergeCell ref="V107"/>
    <mergeCell ref="X109"/>
    <mergeCell ref="Y109"/>
    <mergeCell ref="Z109"/>
    <mergeCell ref="AA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O110"/>
    <mergeCell ref="S109"/>
    <mergeCell ref="T109"/>
    <mergeCell ref="U109"/>
    <mergeCell ref="V109"/>
    <mergeCell ref="W109"/>
    <mergeCell ref="N109"/>
    <mergeCell ref="O109"/>
    <mergeCell ref="P109"/>
    <mergeCell ref="Q109"/>
    <mergeCell ref="R109"/>
    <mergeCell ref="I109"/>
    <mergeCell ref="J109"/>
    <mergeCell ref="K109"/>
    <mergeCell ref="L109"/>
    <mergeCell ref="M109"/>
    <mergeCell ref="C109:D109"/>
    <mergeCell ref="AA111"/>
    <mergeCell ref="R111"/>
    <mergeCell ref="S111"/>
    <mergeCell ref="T111"/>
    <mergeCell ref="U111"/>
    <mergeCell ref="V111"/>
    <mergeCell ref="Z110"/>
    <mergeCell ref="AA110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M111"/>
    <mergeCell ref="N111"/>
    <mergeCell ref="O111"/>
    <mergeCell ref="P111"/>
    <mergeCell ref="Q111"/>
    <mergeCell ref="U110"/>
    <mergeCell ref="V110"/>
    <mergeCell ref="W110"/>
    <mergeCell ref="X110"/>
    <mergeCell ref="Y110"/>
    <mergeCell ref="P110"/>
    <mergeCell ref="Q110"/>
    <mergeCell ref="R110"/>
    <mergeCell ref="S110"/>
    <mergeCell ref="T110"/>
    <mergeCell ref="P112"/>
    <mergeCell ref="Q112"/>
    <mergeCell ref="R112"/>
    <mergeCell ref="I112"/>
    <mergeCell ref="J112"/>
    <mergeCell ref="K112"/>
    <mergeCell ref="L112"/>
    <mergeCell ref="M112"/>
    <mergeCell ref="C112:D112"/>
    <mergeCell ref="E112"/>
    <mergeCell ref="F112"/>
    <mergeCell ref="G112"/>
    <mergeCell ref="H112"/>
    <mergeCell ref="W111"/>
    <mergeCell ref="X111"/>
    <mergeCell ref="Y111"/>
    <mergeCell ref="Z111"/>
    <mergeCell ref="V113"/>
    <mergeCell ref="W113"/>
    <mergeCell ref="X113"/>
    <mergeCell ref="Y113"/>
    <mergeCell ref="P113"/>
    <mergeCell ref="Q113"/>
    <mergeCell ref="R113"/>
    <mergeCell ref="S113"/>
    <mergeCell ref="T113"/>
    <mergeCell ref="X112"/>
    <mergeCell ref="Y112"/>
    <mergeCell ref="Z112"/>
    <mergeCell ref="AA112"/>
    <mergeCell ref="C113:D113"/>
    <mergeCell ref="E113"/>
    <mergeCell ref="F113"/>
    <mergeCell ref="G113"/>
    <mergeCell ref="H113"/>
    <mergeCell ref="I113"/>
    <mergeCell ref="J113"/>
    <mergeCell ref="K113"/>
    <mergeCell ref="L113"/>
    <mergeCell ref="M113"/>
    <mergeCell ref="N113"/>
    <mergeCell ref="O113"/>
    <mergeCell ref="S112"/>
    <mergeCell ref="T112"/>
    <mergeCell ref="U112"/>
    <mergeCell ref="V112"/>
    <mergeCell ref="W112"/>
    <mergeCell ref="N112"/>
    <mergeCell ref="O112"/>
    <mergeCell ref="C115:D115"/>
    <mergeCell ref="E115"/>
    <mergeCell ref="F115"/>
    <mergeCell ref="G115"/>
    <mergeCell ref="H115"/>
    <mergeCell ref="W114"/>
    <mergeCell ref="X114"/>
    <mergeCell ref="Y114"/>
    <mergeCell ref="Z114"/>
    <mergeCell ref="AA114"/>
    <mergeCell ref="R114"/>
    <mergeCell ref="S114"/>
    <mergeCell ref="T114"/>
    <mergeCell ref="U114"/>
    <mergeCell ref="V114"/>
    <mergeCell ref="Z113"/>
    <mergeCell ref="AA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O114"/>
    <mergeCell ref="P114"/>
    <mergeCell ref="Q114"/>
    <mergeCell ref="U113"/>
    <mergeCell ref="X115"/>
    <mergeCell ref="Y115"/>
    <mergeCell ref="Z115"/>
    <mergeCell ref="AA115"/>
    <mergeCell ref="S115"/>
    <mergeCell ref="T115"/>
    <mergeCell ref="U115"/>
    <mergeCell ref="V115"/>
    <mergeCell ref="W115"/>
    <mergeCell ref="N115"/>
    <mergeCell ref="O115"/>
    <mergeCell ref="P115"/>
    <mergeCell ref="Q115"/>
    <mergeCell ref="R115"/>
    <mergeCell ref="I115"/>
    <mergeCell ref="J115"/>
    <mergeCell ref="K115"/>
    <mergeCell ref="L115"/>
    <mergeCell ref="M115"/>
  </mergeCells>
  <dataValidations count="22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O16">
      <formula1>-1000000000000000000</formula1>
      <formula2>1000000000000000000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V16">
      <formula1>-1000000000000000000</formula1>
      <formula2>1000000000000000000</formula2>
    </dataValidation>
    <dataValidation type="decimal" showErrorMessage="1" errorTitle="Kesalahan Jenis Data" error="Data yang dimasukkan harus berupa Angka!" sqref="W16">
      <formula1>-1000000000000000000</formula1>
      <formula2>1000000000000000000</formula2>
    </dataValidation>
    <dataValidation type="decimal" showErrorMessage="1" errorTitle="Kesalahan Jenis Data" error="Data yang dimasukkan harus berupa Angka!" sqref="X16">
      <formula1>-1000000000000000000</formula1>
      <formula2>1000000000000000000</formula2>
    </dataValidation>
    <dataValidation type="decimal" showErrorMessage="1" errorTitle="Kesalahan Jenis Data" error="Data yang dimasukkan harus berupa Angka!" sqref="Y16">
      <formula1>-1000000000000000000</formula1>
      <formula2>1000000000000000000</formula2>
    </dataValidation>
    <dataValidation type="decimal" showErrorMessage="1" errorTitle="Kesalahan Jenis Data" error="Data yang dimasukkan harus berupa Angka!" sqref="Z16">
      <formula1>-1000000000000000000</formula1>
      <formula2>1000000000000000000</formula2>
    </dataValidation>
    <dataValidation type="decimal" showErrorMessage="1" errorTitle="Kesalahan Jenis Data" error="Data yang dimasukkan harus berupa Angka!" sqref="AA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V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Z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V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Z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V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Z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V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Z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V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Z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V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Z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V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Z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V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Z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V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Z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V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Z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V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Z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V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Z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V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Z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V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Z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V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Z31">
      <formula1>-1000000000000000000</formula1>
      <formula2>1000000000000000000</formula2>
    </dataValidation>
    <dataValidation type="decimal" showErrorMessage="1" errorTitle="Kesalahan Jenis Data" error="Data yang dimasukkan harus berupa Angka!" sqref="AA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O32">
      <formula1>-1000000000000000000</formula1>
      <formula2>1000000000000000000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V32">
      <formula1>-1000000000000000000</formula1>
      <formula2>1000000000000000000</formula2>
    </dataValidation>
    <dataValidation type="decimal" showErrorMessage="1" errorTitle="Kesalahan Jenis Data" error="Data yang dimasukkan harus berupa Angka!" sqref="W32">
      <formula1>-1000000000000000000</formula1>
      <formula2>1000000000000000000</formula2>
    </dataValidation>
    <dataValidation type="decimal" showErrorMessage="1" errorTitle="Kesalahan Jenis Data" error="Data yang dimasukkan harus berupa Angka!" sqref="X32">
      <formula1>-1000000000000000000</formula1>
      <formula2>1000000000000000000</formula2>
    </dataValidation>
    <dataValidation type="decimal" showErrorMessage="1" errorTitle="Kesalahan Jenis Data" error="Data yang dimasukkan harus berupa Angka!" sqref="Y32">
      <formula1>-1000000000000000000</formula1>
      <formula2>1000000000000000000</formula2>
    </dataValidation>
    <dataValidation type="decimal" showErrorMessage="1" errorTitle="Kesalahan Jenis Data" error="Data yang dimasukkan harus berupa Angka!" sqref="Z32">
      <formula1>-1000000000000000000</formula1>
      <formula2>1000000000000000000</formula2>
    </dataValidation>
    <dataValidation type="decimal" showErrorMessage="1" errorTitle="Kesalahan Jenis Data" error="Data yang dimasukkan harus berupa Angka!" sqref="AA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O33">
      <formula1>-1000000000000000000</formula1>
      <formula2>1000000000000000000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V33">
      <formula1>-1000000000000000000</formula1>
      <formula2>1000000000000000000</formula2>
    </dataValidation>
    <dataValidation type="decimal" showErrorMessage="1" errorTitle="Kesalahan Jenis Data" error="Data yang dimasukkan harus berupa Angka!" sqref="W33">
      <formula1>-1000000000000000000</formula1>
      <formula2>1000000000000000000</formula2>
    </dataValidation>
    <dataValidation type="decimal" showErrorMessage="1" errorTitle="Kesalahan Jenis Data" error="Data yang dimasukkan harus berupa Angka!" sqref="X33">
      <formula1>-1000000000000000000</formula1>
      <formula2>1000000000000000000</formula2>
    </dataValidation>
    <dataValidation type="decimal" showErrorMessage="1" errorTitle="Kesalahan Jenis Data" error="Data yang dimasukkan harus berupa Angka!" sqref="Y33">
      <formula1>-1000000000000000000</formula1>
      <formula2>1000000000000000000</formula2>
    </dataValidation>
    <dataValidation type="decimal" showErrorMessage="1" errorTitle="Kesalahan Jenis Data" error="Data yang dimasukkan harus berupa Angka!" sqref="Z33">
      <formula1>-1000000000000000000</formula1>
      <formula2>1000000000000000000</formula2>
    </dataValidation>
    <dataValidation type="decimal" showErrorMessage="1" errorTitle="Kesalahan Jenis Data" error="Data yang dimasukkan harus berupa Angka!" sqref="AA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O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V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Z34">
      <formula1>-1000000000000000000</formula1>
      <formula2>1000000000000000000</formula2>
    </dataValidation>
    <dataValidation type="decimal" showErrorMessage="1" errorTitle="Kesalahan Jenis Data" error="Data yang dimasukkan harus berupa Angka!" sqref="AA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V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Z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V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Z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V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Z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V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Z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V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Z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V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Z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V41">
      <formula1>-1000000000000000000</formula1>
      <formula2>1000000000000000000</formula2>
    </dataValidation>
    <dataValidation type="decimal" showErrorMessage="1" errorTitle="Kesalahan Jenis Data" error="Data yang dimasukkan harus berupa Angka!" sqref="W41">
      <formula1>-1000000000000000000</formula1>
      <formula2>1000000000000000000</formula2>
    </dataValidation>
    <dataValidation type="decimal" showErrorMessage="1" errorTitle="Kesalahan Jenis Data" error="Data yang dimasukkan harus berupa Angka!" sqref="X41">
      <formula1>-1000000000000000000</formula1>
      <formula2>1000000000000000000</formula2>
    </dataValidation>
    <dataValidation type="decimal" showErrorMessage="1" errorTitle="Kesalahan Jenis Data" error="Data yang dimasukkan harus berupa Angka!" sqref="Y41">
      <formula1>-1000000000000000000</formula1>
      <formula2>1000000000000000000</formula2>
    </dataValidation>
    <dataValidation type="decimal" showErrorMessage="1" errorTitle="Kesalahan Jenis Data" error="Data yang dimasukkan harus berupa Angka!" sqref="Z41">
      <formula1>-1000000000000000000</formula1>
      <formula2>1000000000000000000</formula2>
    </dataValidation>
    <dataValidation type="decimal" showErrorMessage="1" errorTitle="Kesalahan Jenis Data" error="Data yang dimasukkan harus berupa Angka!" sqref="AA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V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Z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V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Z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V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Z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V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Z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V46">
      <formula1>-1000000000000000000</formula1>
      <formula2>1000000000000000000</formula2>
    </dataValidation>
    <dataValidation type="decimal" showErrorMessage="1" errorTitle="Kesalahan Jenis Data" error="Data yang dimasukkan harus berupa Angka!" sqref="W46">
      <formula1>-1000000000000000000</formula1>
      <formula2>1000000000000000000</formula2>
    </dataValidation>
    <dataValidation type="decimal" showErrorMessage="1" errorTitle="Kesalahan Jenis Data" error="Data yang dimasukkan harus berupa Angka!" sqref="X46">
      <formula1>-1000000000000000000</formula1>
      <formula2>1000000000000000000</formula2>
    </dataValidation>
    <dataValidation type="decimal" showErrorMessage="1" errorTitle="Kesalahan Jenis Data" error="Data yang dimasukkan harus berupa Angka!" sqref="Y46">
      <formula1>-1000000000000000000</formula1>
      <formula2>1000000000000000000</formula2>
    </dataValidation>
    <dataValidation type="decimal" showErrorMessage="1" errorTitle="Kesalahan Jenis Data" error="Data yang dimasukkan harus berupa Angka!" sqref="Z46">
      <formula1>-1000000000000000000</formula1>
      <formula2>1000000000000000000</formula2>
    </dataValidation>
    <dataValidation type="decimal" showErrorMessage="1" errorTitle="Kesalahan Jenis Data" error="Data yang dimasukkan harus berupa Angka!" sqref="AA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V47">
      <formula1>-1000000000000000000</formula1>
      <formula2>1000000000000000000</formula2>
    </dataValidation>
    <dataValidation type="decimal" showErrorMessage="1" errorTitle="Kesalahan Jenis Data" error="Data yang dimasukkan harus berupa Angka!" sqref="W47">
      <formula1>-1000000000000000000</formula1>
      <formula2>1000000000000000000</formula2>
    </dataValidation>
    <dataValidation type="decimal" showErrorMessage="1" errorTitle="Kesalahan Jenis Data" error="Data yang dimasukkan harus berupa Angka!" sqref="X47">
      <formula1>-1000000000000000000</formula1>
      <formula2>1000000000000000000</formula2>
    </dataValidation>
    <dataValidation type="decimal" showErrorMessage="1" errorTitle="Kesalahan Jenis Data" error="Data yang dimasukkan harus berupa Angka!" sqref="Y47">
      <formula1>-1000000000000000000</formula1>
      <formula2>1000000000000000000</formula2>
    </dataValidation>
    <dataValidation type="decimal" showErrorMessage="1" errorTitle="Kesalahan Jenis Data" error="Data yang dimasukkan harus berupa Angka!" sqref="Z47">
      <formula1>-1000000000000000000</formula1>
      <formula2>1000000000000000000</formula2>
    </dataValidation>
    <dataValidation type="decimal" showErrorMessage="1" errorTitle="Kesalahan Jenis Data" error="Data yang dimasukkan harus berupa Angka!" sqref="AA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O48">
      <formula1>-1000000000000000000</formula1>
      <formula2>1000000000000000000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V48">
      <formula1>-1000000000000000000</formula1>
      <formula2>1000000000000000000</formula2>
    </dataValidation>
    <dataValidation type="decimal" showErrorMessage="1" errorTitle="Kesalahan Jenis Data" error="Data yang dimasukkan harus berupa Angka!" sqref="W48">
      <formula1>-1000000000000000000</formula1>
      <formula2>1000000000000000000</formula2>
    </dataValidation>
    <dataValidation type="decimal" showErrorMessage="1" errorTitle="Kesalahan Jenis Data" error="Data yang dimasukkan harus berupa Angka!" sqref="X48">
      <formula1>-1000000000000000000</formula1>
      <formula2>1000000000000000000</formula2>
    </dataValidation>
    <dataValidation type="decimal" showErrorMessage="1" errorTitle="Kesalahan Jenis Data" error="Data yang dimasukkan harus berupa Angka!" sqref="Y48">
      <formula1>-1000000000000000000</formula1>
      <formula2>1000000000000000000</formula2>
    </dataValidation>
    <dataValidation type="decimal" showErrorMessage="1" errorTitle="Kesalahan Jenis Data" error="Data yang dimasukkan harus berupa Angka!" sqref="Z48">
      <formula1>-1000000000000000000</formula1>
      <formula2>1000000000000000000</formula2>
    </dataValidation>
    <dataValidation type="decimal" showErrorMessage="1" errorTitle="Kesalahan Jenis Data" error="Data yang dimasukkan harus berupa Angka!" sqref="AA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O49">
      <formula1>-1000000000000000000</formula1>
      <formula2>1000000000000000000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V49">
      <formula1>-1000000000000000000</formula1>
      <formula2>1000000000000000000</formula2>
    </dataValidation>
    <dataValidation type="decimal" showErrorMessage="1" errorTitle="Kesalahan Jenis Data" error="Data yang dimasukkan harus berupa Angka!" sqref="W49">
      <formula1>-1000000000000000000</formula1>
      <formula2>1000000000000000000</formula2>
    </dataValidation>
    <dataValidation type="decimal" showErrorMessage="1" errorTitle="Kesalahan Jenis Data" error="Data yang dimasukkan harus berupa Angka!" sqref="X49">
      <formula1>-1000000000000000000</formula1>
      <formula2>1000000000000000000</formula2>
    </dataValidation>
    <dataValidation type="decimal" showErrorMessage="1" errorTitle="Kesalahan Jenis Data" error="Data yang dimasukkan harus berupa Angka!" sqref="Y49">
      <formula1>-1000000000000000000</formula1>
      <formula2>1000000000000000000</formula2>
    </dataValidation>
    <dataValidation type="decimal" showErrorMessage="1" errorTitle="Kesalahan Jenis Data" error="Data yang dimasukkan harus berupa Angka!" sqref="Z49">
      <formula1>-1000000000000000000</formula1>
      <formula2>1000000000000000000</formula2>
    </dataValidation>
    <dataValidation type="decimal" showErrorMessage="1" errorTitle="Kesalahan Jenis Data" error="Data yang dimasukkan harus berupa Angka!" sqref="AA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V50">
      <formula1>-1000000000000000000</formula1>
      <formula2>1000000000000000000</formula2>
    </dataValidation>
    <dataValidation type="decimal" showErrorMessage="1" errorTitle="Kesalahan Jenis Data" error="Data yang dimasukkan harus berupa Angka!" sqref="W50">
      <formula1>-1000000000000000000</formula1>
      <formula2>1000000000000000000</formula2>
    </dataValidation>
    <dataValidation type="decimal" showErrorMessage="1" errorTitle="Kesalahan Jenis Data" error="Data yang dimasukkan harus berupa Angka!" sqref="X50">
      <formula1>-1000000000000000000</formula1>
      <formula2>1000000000000000000</formula2>
    </dataValidation>
    <dataValidation type="decimal" showErrorMessage="1" errorTitle="Kesalahan Jenis Data" error="Data yang dimasukkan harus berupa Angka!" sqref="Y50">
      <formula1>-1000000000000000000</formula1>
      <formula2>1000000000000000000</formula2>
    </dataValidation>
    <dataValidation type="decimal" showErrorMessage="1" errorTitle="Kesalahan Jenis Data" error="Data yang dimasukkan harus berupa Angka!" sqref="Z50">
      <formula1>-1000000000000000000</formula1>
      <formula2>1000000000000000000</formula2>
    </dataValidation>
    <dataValidation type="decimal" showErrorMessage="1" errorTitle="Kesalahan Jenis Data" error="Data yang dimasukkan harus berupa Angka!" sqref="AA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V51">
      <formula1>-1000000000000000000</formula1>
      <formula2>1000000000000000000</formula2>
    </dataValidation>
    <dataValidation type="decimal" showErrorMessage="1" errorTitle="Kesalahan Jenis Data" error="Data yang dimasukkan harus berupa Angka!" sqref="W51">
      <formula1>-1000000000000000000</formula1>
      <formula2>1000000000000000000</formula2>
    </dataValidation>
    <dataValidation type="decimal" showErrorMessage="1" errorTitle="Kesalahan Jenis Data" error="Data yang dimasukkan harus berupa Angka!" sqref="X51">
      <formula1>-1000000000000000000</formula1>
      <formula2>1000000000000000000</formula2>
    </dataValidation>
    <dataValidation type="decimal" showErrorMessage="1" errorTitle="Kesalahan Jenis Data" error="Data yang dimasukkan harus berupa Angka!" sqref="Y51">
      <formula1>-1000000000000000000</formula1>
      <formula2>1000000000000000000</formula2>
    </dataValidation>
    <dataValidation type="decimal" showErrorMessage="1" errorTitle="Kesalahan Jenis Data" error="Data yang dimasukkan harus berupa Angka!" sqref="Z51">
      <formula1>-1000000000000000000</formula1>
      <formula2>1000000000000000000</formula2>
    </dataValidation>
    <dataValidation type="decimal" showErrorMessage="1" errorTitle="Kesalahan Jenis Data" error="Data yang dimasukkan harus berupa Angka!" sqref="AA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V52">
      <formula1>-1000000000000000000</formula1>
      <formula2>1000000000000000000</formula2>
    </dataValidation>
    <dataValidation type="decimal" showErrorMessage="1" errorTitle="Kesalahan Jenis Data" error="Data yang dimasukkan harus berupa Angka!" sqref="W52">
      <formula1>-1000000000000000000</formula1>
      <formula2>1000000000000000000</formula2>
    </dataValidation>
    <dataValidation type="decimal" showErrorMessage="1" errorTitle="Kesalahan Jenis Data" error="Data yang dimasukkan harus berupa Angka!" sqref="X52">
      <formula1>-1000000000000000000</formula1>
      <formula2>1000000000000000000</formula2>
    </dataValidation>
    <dataValidation type="decimal" showErrorMessage="1" errorTitle="Kesalahan Jenis Data" error="Data yang dimasukkan harus berupa Angka!" sqref="Y52">
      <formula1>-1000000000000000000</formula1>
      <formula2>1000000000000000000</formula2>
    </dataValidation>
    <dataValidation type="decimal" showErrorMessage="1" errorTitle="Kesalahan Jenis Data" error="Data yang dimasukkan harus berupa Angka!" sqref="Z52">
      <formula1>-1000000000000000000</formula1>
      <formula2>1000000000000000000</formula2>
    </dataValidation>
    <dataValidation type="decimal" showErrorMessage="1" errorTitle="Kesalahan Jenis Data" error="Data yang dimasukkan harus berupa Angka!" sqref="AA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V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Z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V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Z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V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Z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V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Z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V57">
      <formula1>-1000000000000000000</formula1>
      <formula2>1000000000000000000</formula2>
    </dataValidation>
    <dataValidation type="decimal" showErrorMessage="1" errorTitle="Kesalahan Jenis Data" error="Data yang dimasukkan harus berupa Angka!" sqref="W57">
      <formula1>-1000000000000000000</formula1>
      <formula2>1000000000000000000</formula2>
    </dataValidation>
    <dataValidation type="decimal" showErrorMessage="1" errorTitle="Kesalahan Jenis Data" error="Data yang dimasukkan harus berupa Angka!" sqref="X57">
      <formula1>-1000000000000000000</formula1>
      <formula2>1000000000000000000</formula2>
    </dataValidation>
    <dataValidation type="decimal" showErrorMessage="1" errorTitle="Kesalahan Jenis Data" error="Data yang dimasukkan harus berupa Angka!" sqref="Y57">
      <formula1>-1000000000000000000</formula1>
      <formula2>1000000000000000000</formula2>
    </dataValidation>
    <dataValidation type="decimal" showErrorMessage="1" errorTitle="Kesalahan Jenis Data" error="Data yang dimasukkan harus berupa Angka!" sqref="Z57">
      <formula1>-1000000000000000000</formula1>
      <formula2>1000000000000000000</formula2>
    </dataValidation>
    <dataValidation type="decimal" showErrorMessage="1" errorTitle="Kesalahan Jenis Data" error="Data yang dimasukkan harus berupa Angka!" sqref="AA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V58">
      <formula1>-1000000000000000000</formula1>
      <formula2>1000000000000000000</formula2>
    </dataValidation>
    <dataValidation type="decimal" showErrorMessage="1" errorTitle="Kesalahan Jenis Data" error="Data yang dimasukkan harus berupa Angka!" sqref="W58">
      <formula1>-1000000000000000000</formula1>
      <formula2>1000000000000000000</formula2>
    </dataValidation>
    <dataValidation type="decimal" showErrorMessage="1" errorTitle="Kesalahan Jenis Data" error="Data yang dimasukkan harus berupa Angka!" sqref="X58">
      <formula1>-1000000000000000000</formula1>
      <formula2>1000000000000000000</formula2>
    </dataValidation>
    <dataValidation type="decimal" showErrorMessage="1" errorTitle="Kesalahan Jenis Data" error="Data yang dimasukkan harus berupa Angka!" sqref="Y58">
      <formula1>-1000000000000000000</formula1>
      <formula2>1000000000000000000</formula2>
    </dataValidation>
    <dataValidation type="decimal" showErrorMessage="1" errorTitle="Kesalahan Jenis Data" error="Data yang dimasukkan harus berupa Angka!" sqref="Z58">
      <formula1>-1000000000000000000</formula1>
      <formula2>1000000000000000000</formula2>
    </dataValidation>
    <dataValidation type="decimal" showErrorMessage="1" errorTitle="Kesalahan Jenis Data" error="Data yang dimasukkan harus berupa Angka!" sqref="AA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V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Z59">
      <formula1>-1000000000000000000</formula1>
      <formula2>1000000000000000000</formula2>
    </dataValidation>
    <dataValidation type="decimal" showErrorMessage="1" errorTitle="Kesalahan Jenis Data" error="Data yang dimasukkan harus berupa Angka!" sqref="AA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V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Z60">
      <formula1>-1000000000000000000</formula1>
      <formula2>1000000000000000000</formula2>
    </dataValidation>
    <dataValidation type="decimal" showErrorMessage="1" errorTitle="Kesalahan Jenis Data" error="Data yang dimasukkan harus berupa Angka!" sqref="AA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V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Z61">
      <formula1>-1000000000000000000</formula1>
      <formula2>1000000000000000000</formula2>
    </dataValidation>
    <dataValidation type="decimal" showErrorMessage="1" errorTitle="Kesalahan Jenis Data" error="Data yang dimasukkan harus berupa Angka!" sqref="AA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O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V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Z62">
      <formula1>-1000000000000000000</formula1>
      <formula2>1000000000000000000</formula2>
    </dataValidation>
    <dataValidation type="decimal" showErrorMessage="1" errorTitle="Kesalahan Jenis Data" error="Data yang dimasukkan harus berupa Angka!" sqref="AA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O63">
      <formula1>-1000000000000000000</formula1>
      <formula2>1000000000000000000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V63">
      <formula1>-1000000000000000000</formula1>
      <formula2>1000000000000000000</formula2>
    </dataValidation>
    <dataValidation type="decimal" showErrorMessage="1" errorTitle="Kesalahan Jenis Data" error="Data yang dimasukkan harus berupa Angka!" sqref="W63">
      <formula1>-1000000000000000000</formula1>
      <formula2>1000000000000000000</formula2>
    </dataValidation>
    <dataValidation type="decimal" showErrorMessage="1" errorTitle="Kesalahan Jenis Data" error="Data yang dimasukkan harus berupa Angka!" sqref="X63">
      <formula1>-1000000000000000000</formula1>
      <formula2>1000000000000000000</formula2>
    </dataValidation>
    <dataValidation type="decimal" showErrorMessage="1" errorTitle="Kesalahan Jenis Data" error="Data yang dimasukkan harus berupa Angka!" sqref="Y63">
      <formula1>-1000000000000000000</formula1>
      <formula2>1000000000000000000</formula2>
    </dataValidation>
    <dataValidation type="decimal" showErrorMessage="1" errorTitle="Kesalahan Jenis Data" error="Data yang dimasukkan harus berupa Angka!" sqref="Z63">
      <formula1>-1000000000000000000</formula1>
      <formula2>1000000000000000000</formula2>
    </dataValidation>
    <dataValidation type="decimal" showErrorMessage="1" errorTitle="Kesalahan Jenis Data" error="Data yang dimasukkan harus berupa Angka!" sqref="AA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V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Z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V65">
      <formula1>-1000000000000000000</formula1>
      <formula2>1000000000000000000</formula2>
    </dataValidation>
    <dataValidation type="decimal" showErrorMessage="1" errorTitle="Kesalahan Jenis Data" error="Data yang dimasukkan harus berupa Angka!" sqref="W65">
      <formula1>-1000000000000000000</formula1>
      <formula2>1000000000000000000</formula2>
    </dataValidation>
    <dataValidation type="decimal" showErrorMessage="1" errorTitle="Kesalahan Jenis Data" error="Data yang dimasukkan harus berupa Angka!" sqref="X65">
      <formula1>-1000000000000000000</formula1>
      <formula2>1000000000000000000</formula2>
    </dataValidation>
    <dataValidation type="decimal" showErrorMessage="1" errorTitle="Kesalahan Jenis Data" error="Data yang dimasukkan harus berupa Angka!" sqref="Y65">
      <formula1>-1000000000000000000</formula1>
      <formula2>1000000000000000000</formula2>
    </dataValidation>
    <dataValidation type="decimal" showErrorMessage="1" errorTitle="Kesalahan Jenis Data" error="Data yang dimasukkan harus berupa Angka!" sqref="Z65">
      <formula1>-1000000000000000000</formula1>
      <formula2>1000000000000000000</formula2>
    </dataValidation>
    <dataValidation type="decimal" showErrorMessage="1" errorTitle="Kesalahan Jenis Data" error="Data yang dimasukkan harus berupa Angka!" sqref="AA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V66">
      <formula1>-1000000000000000000</formula1>
      <formula2>1000000000000000000</formula2>
    </dataValidation>
    <dataValidation type="decimal" showErrorMessage="1" errorTitle="Kesalahan Jenis Data" error="Data yang dimasukkan harus berupa Angka!" sqref="W66">
      <formula1>-1000000000000000000</formula1>
      <formula2>1000000000000000000</formula2>
    </dataValidation>
    <dataValidation type="decimal" showErrorMessage="1" errorTitle="Kesalahan Jenis Data" error="Data yang dimasukkan harus berupa Angka!" sqref="X66">
      <formula1>-1000000000000000000</formula1>
      <formula2>1000000000000000000</formula2>
    </dataValidation>
    <dataValidation type="decimal" showErrorMessage="1" errorTitle="Kesalahan Jenis Data" error="Data yang dimasukkan harus berupa Angka!" sqref="Y66">
      <formula1>-1000000000000000000</formula1>
      <formula2>1000000000000000000</formula2>
    </dataValidation>
    <dataValidation type="decimal" showErrorMessage="1" errorTitle="Kesalahan Jenis Data" error="Data yang dimasukkan harus berupa Angka!" sqref="Z66">
      <formula1>-1000000000000000000</formula1>
      <formula2>1000000000000000000</formula2>
    </dataValidation>
    <dataValidation type="decimal" showErrorMessage="1" errorTitle="Kesalahan Jenis Data" error="Data yang dimasukkan harus berupa Angka!" sqref="AA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V67">
      <formula1>-1000000000000000000</formula1>
      <formula2>1000000000000000000</formula2>
    </dataValidation>
    <dataValidation type="decimal" showErrorMessage="1" errorTitle="Kesalahan Jenis Data" error="Data yang dimasukkan harus berupa Angka!" sqref="W67">
      <formula1>-1000000000000000000</formula1>
      <formula2>1000000000000000000</formula2>
    </dataValidation>
    <dataValidation type="decimal" showErrorMessage="1" errorTitle="Kesalahan Jenis Data" error="Data yang dimasukkan harus berupa Angka!" sqref="X67">
      <formula1>-1000000000000000000</formula1>
      <formula2>1000000000000000000</formula2>
    </dataValidation>
    <dataValidation type="decimal" showErrorMessage="1" errorTitle="Kesalahan Jenis Data" error="Data yang dimasukkan harus berupa Angka!" sqref="Y67">
      <formula1>-1000000000000000000</formula1>
      <formula2>1000000000000000000</formula2>
    </dataValidation>
    <dataValidation type="decimal" showErrorMessage="1" errorTitle="Kesalahan Jenis Data" error="Data yang dimasukkan harus berupa Angka!" sqref="Z67">
      <formula1>-1000000000000000000</formula1>
      <formula2>1000000000000000000</formula2>
    </dataValidation>
    <dataValidation type="decimal" showErrorMessage="1" errorTitle="Kesalahan Jenis Data" error="Data yang dimasukkan harus berupa Angka!" sqref="AA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V68">
      <formula1>-1000000000000000000</formula1>
      <formula2>1000000000000000000</formula2>
    </dataValidation>
    <dataValidation type="decimal" showErrorMessage="1" errorTitle="Kesalahan Jenis Data" error="Data yang dimasukkan harus berupa Angka!" sqref="W68">
      <formula1>-1000000000000000000</formula1>
      <formula2>1000000000000000000</formula2>
    </dataValidation>
    <dataValidation type="decimal" showErrorMessage="1" errorTitle="Kesalahan Jenis Data" error="Data yang dimasukkan harus berupa Angka!" sqref="X68">
      <formula1>-1000000000000000000</formula1>
      <formula2>1000000000000000000</formula2>
    </dataValidation>
    <dataValidation type="decimal" showErrorMessage="1" errorTitle="Kesalahan Jenis Data" error="Data yang dimasukkan harus berupa Angka!" sqref="Y68">
      <formula1>-1000000000000000000</formula1>
      <formula2>1000000000000000000</formula2>
    </dataValidation>
    <dataValidation type="decimal" showErrorMessage="1" errorTitle="Kesalahan Jenis Data" error="Data yang dimasukkan harus berupa Angka!" sqref="Z68">
      <formula1>-1000000000000000000</formula1>
      <formula2>1000000000000000000</formula2>
    </dataValidation>
    <dataValidation type="decimal" showErrorMessage="1" errorTitle="Kesalahan Jenis Data" error="Data yang dimasukkan harus berupa Angka!" sqref="AA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V69">
      <formula1>-1000000000000000000</formula1>
      <formula2>1000000000000000000</formula2>
    </dataValidation>
    <dataValidation type="decimal" showErrorMessage="1" errorTitle="Kesalahan Jenis Data" error="Data yang dimasukkan harus berupa Angka!" sqref="W69">
      <formula1>-1000000000000000000</formula1>
      <formula2>1000000000000000000</formula2>
    </dataValidation>
    <dataValidation type="decimal" showErrorMessage="1" errorTitle="Kesalahan Jenis Data" error="Data yang dimasukkan harus berupa Angka!" sqref="X69">
      <formula1>-1000000000000000000</formula1>
      <formula2>1000000000000000000</formula2>
    </dataValidation>
    <dataValidation type="decimal" showErrorMessage="1" errorTitle="Kesalahan Jenis Data" error="Data yang dimasukkan harus berupa Angka!" sqref="Y69">
      <formula1>-1000000000000000000</formula1>
      <formula2>1000000000000000000</formula2>
    </dataValidation>
    <dataValidation type="decimal" showErrorMessage="1" errorTitle="Kesalahan Jenis Data" error="Data yang dimasukkan harus berupa Angka!" sqref="Z69">
      <formula1>-1000000000000000000</formula1>
      <formula2>1000000000000000000</formula2>
    </dataValidation>
    <dataValidation type="decimal" showErrorMessage="1" errorTitle="Kesalahan Jenis Data" error="Data yang dimasukkan harus berupa Angka!" sqref="AA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O70">
      <formula1>-1000000000000000000</formula1>
      <formula2>1000000000000000000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V70">
      <formula1>-1000000000000000000</formula1>
      <formula2>1000000000000000000</formula2>
    </dataValidation>
    <dataValidation type="decimal" showErrorMessage="1" errorTitle="Kesalahan Jenis Data" error="Data yang dimasukkan harus berupa Angka!" sqref="W70">
      <formula1>-1000000000000000000</formula1>
      <formula2>1000000000000000000</formula2>
    </dataValidation>
    <dataValidation type="decimal" showErrorMessage="1" errorTitle="Kesalahan Jenis Data" error="Data yang dimasukkan harus berupa Angka!" sqref="X70">
      <formula1>-1000000000000000000</formula1>
      <formula2>1000000000000000000</formula2>
    </dataValidation>
    <dataValidation type="decimal" showErrorMessage="1" errorTitle="Kesalahan Jenis Data" error="Data yang dimasukkan harus berupa Angka!" sqref="Y70">
      <formula1>-1000000000000000000</formula1>
      <formula2>1000000000000000000</formula2>
    </dataValidation>
    <dataValidation type="decimal" showErrorMessage="1" errorTitle="Kesalahan Jenis Data" error="Data yang dimasukkan harus berupa Angka!" sqref="Z70">
      <formula1>-1000000000000000000</formula1>
      <formula2>1000000000000000000</formula2>
    </dataValidation>
    <dataValidation type="decimal" showErrorMessage="1" errorTitle="Kesalahan Jenis Data" error="Data yang dimasukkan harus berupa Angka!" sqref="AA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O71">
      <formula1>-1000000000000000000</formula1>
      <formula2>1000000000000000000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V71">
      <formula1>-1000000000000000000</formula1>
      <formula2>1000000000000000000</formula2>
    </dataValidation>
    <dataValidation type="decimal" showErrorMessage="1" errorTitle="Kesalahan Jenis Data" error="Data yang dimasukkan harus berupa Angka!" sqref="W71">
      <formula1>-1000000000000000000</formula1>
      <formula2>1000000000000000000</formula2>
    </dataValidation>
    <dataValidation type="decimal" showErrorMessage="1" errorTitle="Kesalahan Jenis Data" error="Data yang dimasukkan harus berupa Angka!" sqref="X71">
      <formula1>-1000000000000000000</formula1>
      <formula2>1000000000000000000</formula2>
    </dataValidation>
    <dataValidation type="decimal" showErrorMessage="1" errorTitle="Kesalahan Jenis Data" error="Data yang dimasukkan harus berupa Angka!" sqref="Y71">
      <formula1>-1000000000000000000</formula1>
      <formula2>1000000000000000000</formula2>
    </dataValidation>
    <dataValidation type="decimal" showErrorMessage="1" errorTitle="Kesalahan Jenis Data" error="Data yang dimasukkan harus berupa Angka!" sqref="Z71">
      <formula1>-1000000000000000000</formula1>
      <formula2>1000000000000000000</formula2>
    </dataValidation>
    <dataValidation type="decimal" showErrorMessage="1" errorTitle="Kesalahan Jenis Data" error="Data yang dimasukkan harus berupa Angka!" sqref="AA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O72">
      <formula1>-1000000000000000000</formula1>
      <formula2>1000000000000000000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V72">
      <formula1>-1000000000000000000</formula1>
      <formula2>1000000000000000000</formula2>
    </dataValidation>
    <dataValidation type="decimal" showErrorMessage="1" errorTitle="Kesalahan Jenis Data" error="Data yang dimasukkan harus berupa Angka!" sqref="W72">
      <formula1>-1000000000000000000</formula1>
      <formula2>1000000000000000000</formula2>
    </dataValidation>
    <dataValidation type="decimal" showErrorMessage="1" errorTitle="Kesalahan Jenis Data" error="Data yang dimasukkan harus berupa Angka!" sqref="X72">
      <formula1>-1000000000000000000</formula1>
      <formula2>1000000000000000000</formula2>
    </dataValidation>
    <dataValidation type="decimal" showErrorMessage="1" errorTitle="Kesalahan Jenis Data" error="Data yang dimasukkan harus berupa Angka!" sqref="Y72">
      <formula1>-1000000000000000000</formula1>
      <formula2>1000000000000000000</formula2>
    </dataValidation>
    <dataValidation type="decimal" showErrorMessage="1" errorTitle="Kesalahan Jenis Data" error="Data yang dimasukkan harus berupa Angka!" sqref="Z72">
      <formula1>-1000000000000000000</formula1>
      <formula2>1000000000000000000</formula2>
    </dataValidation>
    <dataValidation type="decimal" showErrorMessage="1" errorTitle="Kesalahan Jenis Data" error="Data yang dimasukkan harus berupa Angka!" sqref="AA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O73">
      <formula1>-1000000000000000000</formula1>
      <formula2>1000000000000000000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V73">
      <formula1>-1000000000000000000</formula1>
      <formula2>1000000000000000000</formula2>
    </dataValidation>
    <dataValidation type="decimal" showErrorMessage="1" errorTitle="Kesalahan Jenis Data" error="Data yang dimasukkan harus berupa Angka!" sqref="W73">
      <formula1>-1000000000000000000</formula1>
      <formula2>1000000000000000000</formula2>
    </dataValidation>
    <dataValidation type="decimal" showErrorMessage="1" errorTitle="Kesalahan Jenis Data" error="Data yang dimasukkan harus berupa Angka!" sqref="X73">
      <formula1>-1000000000000000000</formula1>
      <formula2>1000000000000000000</formula2>
    </dataValidation>
    <dataValidation type="decimal" showErrorMessage="1" errorTitle="Kesalahan Jenis Data" error="Data yang dimasukkan harus berupa Angka!" sqref="Y73">
      <formula1>-1000000000000000000</formula1>
      <formula2>1000000000000000000</formula2>
    </dataValidation>
    <dataValidation type="decimal" showErrorMessage="1" errorTitle="Kesalahan Jenis Data" error="Data yang dimasukkan harus berupa Angka!" sqref="Z73">
      <formula1>-1000000000000000000</formula1>
      <formula2>1000000000000000000</formula2>
    </dataValidation>
    <dataValidation type="decimal" showErrorMessage="1" errorTitle="Kesalahan Jenis Data" error="Data yang dimasukkan harus berupa Angka!" sqref="AA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O74">
      <formula1>-1000000000000000000</formula1>
      <formula2>1000000000000000000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V74">
      <formula1>-1000000000000000000</formula1>
      <formula2>1000000000000000000</formula2>
    </dataValidation>
    <dataValidation type="decimal" showErrorMessage="1" errorTitle="Kesalahan Jenis Data" error="Data yang dimasukkan harus berupa Angka!" sqref="W74">
      <formula1>-1000000000000000000</formula1>
      <formula2>1000000000000000000</formula2>
    </dataValidation>
    <dataValidation type="decimal" showErrorMessage="1" errorTitle="Kesalahan Jenis Data" error="Data yang dimasukkan harus berupa Angka!" sqref="X74">
      <formula1>-1000000000000000000</formula1>
      <formula2>1000000000000000000</formula2>
    </dataValidation>
    <dataValidation type="decimal" showErrorMessage="1" errorTitle="Kesalahan Jenis Data" error="Data yang dimasukkan harus berupa Angka!" sqref="Y74">
      <formula1>-1000000000000000000</formula1>
      <formula2>1000000000000000000</formula2>
    </dataValidation>
    <dataValidation type="decimal" showErrorMessage="1" errorTitle="Kesalahan Jenis Data" error="Data yang dimasukkan harus berupa Angka!" sqref="Z74">
      <formula1>-1000000000000000000</formula1>
      <formula2>1000000000000000000</formula2>
    </dataValidation>
    <dataValidation type="decimal" showErrorMessage="1" errorTitle="Kesalahan Jenis Data" error="Data yang dimasukkan harus berupa Angka!" sqref="AA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O75">
      <formula1>-1000000000000000000</formula1>
      <formula2>1000000000000000000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V75">
      <formula1>-1000000000000000000</formula1>
      <formula2>1000000000000000000</formula2>
    </dataValidation>
    <dataValidation type="decimal" showErrorMessage="1" errorTitle="Kesalahan Jenis Data" error="Data yang dimasukkan harus berupa Angka!" sqref="W75">
      <formula1>-1000000000000000000</formula1>
      <formula2>1000000000000000000</formula2>
    </dataValidation>
    <dataValidation type="decimal" showErrorMessage="1" errorTitle="Kesalahan Jenis Data" error="Data yang dimasukkan harus berupa Angka!" sqref="X75">
      <formula1>-1000000000000000000</formula1>
      <formula2>1000000000000000000</formula2>
    </dataValidation>
    <dataValidation type="decimal" showErrorMessage="1" errorTitle="Kesalahan Jenis Data" error="Data yang dimasukkan harus berupa Angka!" sqref="Y75">
      <formula1>-1000000000000000000</formula1>
      <formula2>1000000000000000000</formula2>
    </dataValidation>
    <dataValidation type="decimal" showErrorMessage="1" errorTitle="Kesalahan Jenis Data" error="Data yang dimasukkan harus berupa Angka!" sqref="Z75">
      <formula1>-1000000000000000000</formula1>
      <formula2>1000000000000000000</formula2>
    </dataValidation>
    <dataValidation type="decimal" showErrorMessage="1" errorTitle="Kesalahan Jenis Data" error="Data yang dimasukkan harus berupa Angka!" sqref="AA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O76">
      <formula1>-1000000000000000000</formula1>
      <formula2>1000000000000000000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V76">
      <formula1>-1000000000000000000</formula1>
      <formula2>1000000000000000000</formula2>
    </dataValidation>
    <dataValidation type="decimal" showErrorMessage="1" errorTitle="Kesalahan Jenis Data" error="Data yang dimasukkan harus berupa Angka!" sqref="W76">
      <formula1>-1000000000000000000</formula1>
      <formula2>1000000000000000000</formula2>
    </dataValidation>
    <dataValidation type="decimal" showErrorMessage="1" errorTitle="Kesalahan Jenis Data" error="Data yang dimasukkan harus berupa Angka!" sqref="X76">
      <formula1>-1000000000000000000</formula1>
      <formula2>1000000000000000000</formula2>
    </dataValidation>
    <dataValidation type="decimal" showErrorMessage="1" errorTitle="Kesalahan Jenis Data" error="Data yang dimasukkan harus berupa Angka!" sqref="Y76">
      <formula1>-1000000000000000000</formula1>
      <formula2>1000000000000000000</formula2>
    </dataValidation>
    <dataValidation type="decimal" showErrorMessage="1" errorTitle="Kesalahan Jenis Data" error="Data yang dimasukkan harus berupa Angka!" sqref="Z76">
      <formula1>-1000000000000000000</formula1>
      <formula2>1000000000000000000</formula2>
    </dataValidation>
    <dataValidation type="decimal" showErrorMessage="1" errorTitle="Kesalahan Jenis Data" error="Data yang dimasukkan harus berupa Angka!" sqref="AA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O77">
      <formula1>-1000000000000000000</formula1>
      <formula2>1000000000000000000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V77">
      <formula1>-1000000000000000000</formula1>
      <formula2>1000000000000000000</formula2>
    </dataValidation>
    <dataValidation type="decimal" showErrorMessage="1" errorTitle="Kesalahan Jenis Data" error="Data yang dimasukkan harus berupa Angka!" sqref="W77">
      <formula1>-1000000000000000000</formula1>
      <formula2>1000000000000000000</formula2>
    </dataValidation>
    <dataValidation type="decimal" showErrorMessage="1" errorTitle="Kesalahan Jenis Data" error="Data yang dimasukkan harus berupa Angka!" sqref="X77">
      <formula1>-1000000000000000000</formula1>
      <formula2>1000000000000000000</formula2>
    </dataValidation>
    <dataValidation type="decimal" showErrorMessage="1" errorTitle="Kesalahan Jenis Data" error="Data yang dimasukkan harus berupa Angka!" sqref="Y77">
      <formula1>-1000000000000000000</formula1>
      <formula2>1000000000000000000</formula2>
    </dataValidation>
    <dataValidation type="decimal" showErrorMessage="1" errorTitle="Kesalahan Jenis Data" error="Data yang dimasukkan harus berupa Angka!" sqref="Z77">
      <formula1>-1000000000000000000</formula1>
      <formula2>1000000000000000000</formula2>
    </dataValidation>
    <dataValidation type="decimal" showErrorMessage="1" errorTitle="Kesalahan Jenis Data" error="Data yang dimasukkan harus berupa Angka!" sqref="AA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O78">
      <formula1>-1000000000000000000</formula1>
      <formula2>1000000000000000000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V78">
      <formula1>-1000000000000000000</formula1>
      <formula2>1000000000000000000</formula2>
    </dataValidation>
    <dataValidation type="decimal" showErrorMessage="1" errorTitle="Kesalahan Jenis Data" error="Data yang dimasukkan harus berupa Angka!" sqref="W78">
      <formula1>-1000000000000000000</formula1>
      <formula2>1000000000000000000</formula2>
    </dataValidation>
    <dataValidation type="decimal" showErrorMessage="1" errorTitle="Kesalahan Jenis Data" error="Data yang dimasukkan harus berupa Angka!" sqref="X78">
      <formula1>-1000000000000000000</formula1>
      <formula2>1000000000000000000</formula2>
    </dataValidation>
    <dataValidation type="decimal" showErrorMessage="1" errorTitle="Kesalahan Jenis Data" error="Data yang dimasukkan harus berupa Angka!" sqref="Y78">
      <formula1>-1000000000000000000</formula1>
      <formula2>1000000000000000000</formula2>
    </dataValidation>
    <dataValidation type="decimal" showErrorMessage="1" errorTitle="Kesalahan Jenis Data" error="Data yang dimasukkan harus berupa Angka!" sqref="Z78">
      <formula1>-1000000000000000000</formula1>
      <formula2>1000000000000000000</formula2>
    </dataValidation>
    <dataValidation type="decimal" showErrorMessage="1" errorTitle="Kesalahan Jenis Data" error="Data yang dimasukkan harus berupa Angka!" sqref="AA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O79">
      <formula1>-1000000000000000000</formula1>
      <formula2>1000000000000000000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V79">
      <formula1>-1000000000000000000</formula1>
      <formula2>1000000000000000000</formula2>
    </dataValidation>
    <dataValidation type="decimal" showErrorMessage="1" errorTitle="Kesalahan Jenis Data" error="Data yang dimasukkan harus berupa Angka!" sqref="W79">
      <formula1>-1000000000000000000</formula1>
      <formula2>1000000000000000000</formula2>
    </dataValidation>
    <dataValidation type="decimal" showErrorMessage="1" errorTitle="Kesalahan Jenis Data" error="Data yang dimasukkan harus berupa Angka!" sqref="X79">
      <formula1>-1000000000000000000</formula1>
      <formula2>1000000000000000000</formula2>
    </dataValidation>
    <dataValidation type="decimal" showErrorMessage="1" errorTitle="Kesalahan Jenis Data" error="Data yang dimasukkan harus berupa Angka!" sqref="Y79">
      <formula1>-1000000000000000000</formula1>
      <formula2>1000000000000000000</formula2>
    </dataValidation>
    <dataValidation type="decimal" showErrorMessage="1" errorTitle="Kesalahan Jenis Data" error="Data yang dimasukkan harus berupa Angka!" sqref="Z79">
      <formula1>-1000000000000000000</formula1>
      <formula2>1000000000000000000</formula2>
    </dataValidation>
    <dataValidation type="decimal" showErrorMessage="1" errorTitle="Kesalahan Jenis Data" error="Data yang dimasukkan harus berupa Angka!" sqref="AA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O80">
      <formula1>-1000000000000000000</formula1>
      <formula2>1000000000000000000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V80">
      <formula1>-1000000000000000000</formula1>
      <formula2>1000000000000000000</formula2>
    </dataValidation>
    <dataValidation type="decimal" showErrorMessage="1" errorTitle="Kesalahan Jenis Data" error="Data yang dimasukkan harus berupa Angka!" sqref="W80">
      <formula1>-1000000000000000000</formula1>
      <formula2>1000000000000000000</formula2>
    </dataValidation>
    <dataValidation type="decimal" showErrorMessage="1" errorTitle="Kesalahan Jenis Data" error="Data yang dimasukkan harus berupa Angka!" sqref="X80">
      <formula1>-1000000000000000000</formula1>
      <formula2>1000000000000000000</formula2>
    </dataValidation>
    <dataValidation type="decimal" showErrorMessage="1" errorTitle="Kesalahan Jenis Data" error="Data yang dimasukkan harus berupa Angka!" sqref="Y80">
      <formula1>-1000000000000000000</formula1>
      <formula2>1000000000000000000</formula2>
    </dataValidation>
    <dataValidation type="decimal" showErrorMessage="1" errorTitle="Kesalahan Jenis Data" error="Data yang dimasukkan harus berupa Angka!" sqref="Z80">
      <formula1>-1000000000000000000</formula1>
      <formula2>1000000000000000000</formula2>
    </dataValidation>
    <dataValidation type="decimal" showErrorMessage="1" errorTitle="Kesalahan Jenis Data" error="Data yang dimasukkan harus berupa Angka!" sqref="AA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O81">
      <formula1>-1000000000000000000</formula1>
      <formula2>1000000000000000000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V81">
      <formula1>-1000000000000000000</formula1>
      <formula2>1000000000000000000</formula2>
    </dataValidation>
    <dataValidation type="decimal" showErrorMessage="1" errorTitle="Kesalahan Jenis Data" error="Data yang dimasukkan harus berupa Angka!" sqref="W81">
      <formula1>-1000000000000000000</formula1>
      <formula2>1000000000000000000</formula2>
    </dataValidation>
    <dataValidation type="decimal" showErrorMessage="1" errorTitle="Kesalahan Jenis Data" error="Data yang dimasukkan harus berupa Angka!" sqref="X81">
      <formula1>-1000000000000000000</formula1>
      <formula2>1000000000000000000</formula2>
    </dataValidation>
    <dataValidation type="decimal" showErrorMessage="1" errorTitle="Kesalahan Jenis Data" error="Data yang dimasukkan harus berupa Angka!" sqref="Y81">
      <formula1>-1000000000000000000</formula1>
      <formula2>1000000000000000000</formula2>
    </dataValidation>
    <dataValidation type="decimal" showErrorMessage="1" errorTitle="Kesalahan Jenis Data" error="Data yang dimasukkan harus berupa Angka!" sqref="Z81">
      <formula1>-1000000000000000000</formula1>
      <formula2>1000000000000000000</formula2>
    </dataValidation>
    <dataValidation type="decimal" showErrorMessage="1" errorTitle="Kesalahan Jenis Data" error="Data yang dimasukkan harus berupa Angka!" sqref="AA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O82">
      <formula1>-1000000000000000000</formula1>
      <formula2>1000000000000000000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V82">
      <formula1>-1000000000000000000</formula1>
      <formula2>1000000000000000000</formula2>
    </dataValidation>
    <dataValidation type="decimal" showErrorMessage="1" errorTitle="Kesalahan Jenis Data" error="Data yang dimasukkan harus berupa Angka!" sqref="W82">
      <formula1>-1000000000000000000</formula1>
      <formula2>1000000000000000000</formula2>
    </dataValidation>
    <dataValidation type="decimal" showErrorMessage="1" errorTitle="Kesalahan Jenis Data" error="Data yang dimasukkan harus berupa Angka!" sqref="X82">
      <formula1>-1000000000000000000</formula1>
      <formula2>1000000000000000000</formula2>
    </dataValidation>
    <dataValidation type="decimal" showErrorMessage="1" errorTitle="Kesalahan Jenis Data" error="Data yang dimasukkan harus berupa Angka!" sqref="Y82">
      <formula1>-1000000000000000000</formula1>
      <formula2>1000000000000000000</formula2>
    </dataValidation>
    <dataValidation type="decimal" showErrorMessage="1" errorTitle="Kesalahan Jenis Data" error="Data yang dimasukkan harus berupa Angka!" sqref="Z82">
      <formula1>-1000000000000000000</formula1>
      <formula2>1000000000000000000</formula2>
    </dataValidation>
    <dataValidation type="decimal" showErrorMessage="1" errorTitle="Kesalahan Jenis Data" error="Data yang dimasukkan harus berupa Angka!" sqref="AA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O83">
      <formula1>-1000000000000000000</formula1>
      <formula2>1000000000000000000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V83">
      <formula1>-1000000000000000000</formula1>
      <formula2>1000000000000000000</formula2>
    </dataValidation>
    <dataValidation type="decimal" showErrorMessage="1" errorTitle="Kesalahan Jenis Data" error="Data yang dimasukkan harus berupa Angka!" sqref="W83">
      <formula1>-1000000000000000000</formula1>
      <formula2>1000000000000000000</formula2>
    </dataValidation>
    <dataValidation type="decimal" showErrorMessage="1" errorTitle="Kesalahan Jenis Data" error="Data yang dimasukkan harus berupa Angka!" sqref="X83">
      <formula1>-1000000000000000000</formula1>
      <formula2>1000000000000000000</formula2>
    </dataValidation>
    <dataValidation type="decimal" showErrorMessage="1" errorTitle="Kesalahan Jenis Data" error="Data yang dimasukkan harus berupa Angka!" sqref="Y83">
      <formula1>-1000000000000000000</formula1>
      <formula2>1000000000000000000</formula2>
    </dataValidation>
    <dataValidation type="decimal" showErrorMessage="1" errorTitle="Kesalahan Jenis Data" error="Data yang dimasukkan harus berupa Angka!" sqref="Z83">
      <formula1>-1000000000000000000</formula1>
      <formula2>1000000000000000000</formula2>
    </dataValidation>
    <dataValidation type="decimal" showErrorMessage="1" errorTitle="Kesalahan Jenis Data" error="Data yang dimasukkan harus berupa Angka!" sqref="AA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O84">
      <formula1>-1000000000000000000</formula1>
      <formula2>1000000000000000000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V84">
      <formula1>-1000000000000000000</formula1>
      <formula2>1000000000000000000</formula2>
    </dataValidation>
    <dataValidation type="decimal" showErrorMessage="1" errorTitle="Kesalahan Jenis Data" error="Data yang dimasukkan harus berupa Angka!" sqref="W84">
      <formula1>-1000000000000000000</formula1>
      <formula2>1000000000000000000</formula2>
    </dataValidation>
    <dataValidation type="decimal" showErrorMessage="1" errorTitle="Kesalahan Jenis Data" error="Data yang dimasukkan harus berupa Angka!" sqref="X84">
      <formula1>-1000000000000000000</formula1>
      <formula2>1000000000000000000</formula2>
    </dataValidation>
    <dataValidation type="decimal" showErrorMessage="1" errorTitle="Kesalahan Jenis Data" error="Data yang dimasukkan harus berupa Angka!" sqref="Y84">
      <formula1>-1000000000000000000</formula1>
      <formula2>1000000000000000000</formula2>
    </dataValidation>
    <dataValidation type="decimal" showErrorMessage="1" errorTitle="Kesalahan Jenis Data" error="Data yang dimasukkan harus berupa Angka!" sqref="Z84">
      <formula1>-1000000000000000000</formula1>
      <formula2>1000000000000000000</formula2>
    </dataValidation>
    <dataValidation type="decimal" showErrorMessage="1" errorTitle="Kesalahan Jenis Data" error="Data yang dimasukkan harus berupa Angka!" sqref="AA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O85">
      <formula1>-1000000000000000000</formula1>
      <formula2>1000000000000000000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V85">
      <formula1>-1000000000000000000</formula1>
      <formula2>1000000000000000000</formula2>
    </dataValidation>
    <dataValidation type="decimal" showErrorMessage="1" errorTitle="Kesalahan Jenis Data" error="Data yang dimasukkan harus berupa Angka!" sqref="W85">
      <formula1>-1000000000000000000</formula1>
      <formula2>1000000000000000000</formula2>
    </dataValidation>
    <dataValidation type="decimal" showErrorMessage="1" errorTitle="Kesalahan Jenis Data" error="Data yang dimasukkan harus berupa Angka!" sqref="X85">
      <formula1>-1000000000000000000</formula1>
      <formula2>1000000000000000000</formula2>
    </dataValidation>
    <dataValidation type="decimal" showErrorMessage="1" errorTitle="Kesalahan Jenis Data" error="Data yang dimasukkan harus berupa Angka!" sqref="Y85">
      <formula1>-1000000000000000000</formula1>
      <formula2>1000000000000000000</formula2>
    </dataValidation>
    <dataValidation type="decimal" showErrorMessage="1" errorTitle="Kesalahan Jenis Data" error="Data yang dimasukkan harus berupa Angka!" sqref="Z85">
      <formula1>-1000000000000000000</formula1>
      <formula2>1000000000000000000</formula2>
    </dataValidation>
    <dataValidation type="decimal" showErrorMessage="1" errorTitle="Kesalahan Jenis Data" error="Data yang dimasukkan harus berupa Angka!" sqref="AA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O86">
      <formula1>-1000000000000000000</formula1>
      <formula2>1000000000000000000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V86">
      <formula1>-1000000000000000000</formula1>
      <formula2>1000000000000000000</formula2>
    </dataValidation>
    <dataValidation type="decimal" showErrorMessage="1" errorTitle="Kesalahan Jenis Data" error="Data yang dimasukkan harus berupa Angka!" sqref="W86">
      <formula1>-1000000000000000000</formula1>
      <formula2>1000000000000000000</formula2>
    </dataValidation>
    <dataValidation type="decimal" showErrorMessage="1" errorTitle="Kesalahan Jenis Data" error="Data yang dimasukkan harus berupa Angka!" sqref="X86">
      <formula1>-1000000000000000000</formula1>
      <formula2>1000000000000000000</formula2>
    </dataValidation>
    <dataValidation type="decimal" showErrorMessage="1" errorTitle="Kesalahan Jenis Data" error="Data yang dimasukkan harus berupa Angka!" sqref="Y86">
      <formula1>-1000000000000000000</formula1>
      <formula2>1000000000000000000</formula2>
    </dataValidation>
    <dataValidation type="decimal" showErrorMessage="1" errorTitle="Kesalahan Jenis Data" error="Data yang dimasukkan harus berupa Angka!" sqref="Z86">
      <formula1>-1000000000000000000</formula1>
      <formula2>1000000000000000000</formula2>
    </dataValidation>
    <dataValidation type="decimal" showErrorMessage="1" errorTitle="Kesalahan Jenis Data" error="Data yang dimasukkan harus berupa Angka!" sqref="AA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O87">
      <formula1>-1000000000000000000</formula1>
      <formula2>1000000000000000000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V87">
      <formula1>-1000000000000000000</formula1>
      <formula2>1000000000000000000</formula2>
    </dataValidation>
    <dataValidation type="decimal" showErrorMessage="1" errorTitle="Kesalahan Jenis Data" error="Data yang dimasukkan harus berupa Angka!" sqref="W87">
      <formula1>-1000000000000000000</formula1>
      <formula2>1000000000000000000</formula2>
    </dataValidation>
    <dataValidation type="decimal" showErrorMessage="1" errorTitle="Kesalahan Jenis Data" error="Data yang dimasukkan harus berupa Angka!" sqref="X87">
      <formula1>-1000000000000000000</formula1>
      <formula2>1000000000000000000</formula2>
    </dataValidation>
    <dataValidation type="decimal" showErrorMessage="1" errorTitle="Kesalahan Jenis Data" error="Data yang dimasukkan harus berupa Angka!" sqref="Y87">
      <formula1>-1000000000000000000</formula1>
      <formula2>1000000000000000000</formula2>
    </dataValidation>
    <dataValidation type="decimal" showErrorMessage="1" errorTitle="Kesalahan Jenis Data" error="Data yang dimasukkan harus berupa Angka!" sqref="Z87">
      <formula1>-1000000000000000000</formula1>
      <formula2>1000000000000000000</formula2>
    </dataValidation>
    <dataValidation type="decimal" showErrorMessage="1" errorTitle="Kesalahan Jenis Data" error="Data yang dimasukkan harus berupa Angka!" sqref="AA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O88">
      <formula1>-1000000000000000000</formula1>
      <formula2>1000000000000000000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V88">
      <formula1>-1000000000000000000</formula1>
      <formula2>1000000000000000000</formula2>
    </dataValidation>
    <dataValidation type="decimal" showErrorMessage="1" errorTitle="Kesalahan Jenis Data" error="Data yang dimasukkan harus berupa Angka!" sqref="W88">
      <formula1>-1000000000000000000</formula1>
      <formula2>1000000000000000000</formula2>
    </dataValidation>
    <dataValidation type="decimal" showErrorMessage="1" errorTitle="Kesalahan Jenis Data" error="Data yang dimasukkan harus berupa Angka!" sqref="X88">
      <formula1>-1000000000000000000</formula1>
      <formula2>1000000000000000000</formula2>
    </dataValidation>
    <dataValidation type="decimal" showErrorMessage="1" errorTitle="Kesalahan Jenis Data" error="Data yang dimasukkan harus berupa Angka!" sqref="Y88">
      <formula1>-1000000000000000000</formula1>
      <formula2>1000000000000000000</formula2>
    </dataValidation>
    <dataValidation type="decimal" showErrorMessage="1" errorTitle="Kesalahan Jenis Data" error="Data yang dimasukkan harus berupa Angka!" sqref="Z88">
      <formula1>-1000000000000000000</formula1>
      <formula2>1000000000000000000</formula2>
    </dataValidation>
    <dataValidation type="decimal" showErrorMessage="1" errorTitle="Kesalahan Jenis Data" error="Data yang dimasukkan harus berupa Angka!" sqref="AA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O89">
      <formula1>-1000000000000000000</formula1>
      <formula2>1000000000000000000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V89">
      <formula1>-1000000000000000000</formula1>
      <formula2>1000000000000000000</formula2>
    </dataValidation>
    <dataValidation type="decimal" showErrorMessage="1" errorTitle="Kesalahan Jenis Data" error="Data yang dimasukkan harus berupa Angka!" sqref="W89">
      <formula1>-1000000000000000000</formula1>
      <formula2>1000000000000000000</formula2>
    </dataValidation>
    <dataValidation type="decimal" showErrorMessage="1" errorTitle="Kesalahan Jenis Data" error="Data yang dimasukkan harus berupa Angka!" sqref="X89">
      <formula1>-1000000000000000000</formula1>
      <formula2>1000000000000000000</formula2>
    </dataValidation>
    <dataValidation type="decimal" showErrorMessage="1" errorTitle="Kesalahan Jenis Data" error="Data yang dimasukkan harus berupa Angka!" sqref="Y89">
      <formula1>-1000000000000000000</formula1>
      <formula2>1000000000000000000</formula2>
    </dataValidation>
    <dataValidation type="decimal" showErrorMessage="1" errorTitle="Kesalahan Jenis Data" error="Data yang dimasukkan harus berupa Angka!" sqref="Z89">
      <formula1>-1000000000000000000</formula1>
      <formula2>1000000000000000000</formula2>
    </dataValidation>
    <dataValidation type="decimal" showErrorMessage="1" errorTitle="Kesalahan Jenis Data" error="Data yang dimasukkan harus berupa Angka!" sqref="AA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O90">
      <formula1>-1000000000000000000</formula1>
      <formula2>1000000000000000000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V90">
      <formula1>-1000000000000000000</formula1>
      <formula2>1000000000000000000</formula2>
    </dataValidation>
    <dataValidation type="decimal" showErrorMessage="1" errorTitle="Kesalahan Jenis Data" error="Data yang dimasukkan harus berupa Angka!" sqref="W90">
      <formula1>-1000000000000000000</formula1>
      <formula2>1000000000000000000</formula2>
    </dataValidation>
    <dataValidation type="decimal" showErrorMessage="1" errorTitle="Kesalahan Jenis Data" error="Data yang dimasukkan harus berupa Angka!" sqref="X90">
      <formula1>-1000000000000000000</formula1>
      <formula2>1000000000000000000</formula2>
    </dataValidation>
    <dataValidation type="decimal" showErrorMessage="1" errorTitle="Kesalahan Jenis Data" error="Data yang dimasukkan harus berupa Angka!" sqref="Y90">
      <formula1>-1000000000000000000</formula1>
      <formula2>1000000000000000000</formula2>
    </dataValidation>
    <dataValidation type="decimal" showErrorMessage="1" errorTitle="Kesalahan Jenis Data" error="Data yang dimasukkan harus berupa Angka!" sqref="Z90">
      <formula1>-1000000000000000000</formula1>
      <formula2>1000000000000000000</formula2>
    </dataValidation>
    <dataValidation type="decimal" showErrorMessage="1" errorTitle="Kesalahan Jenis Data" error="Data yang dimasukkan harus berupa Angka!" sqref="AA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O91">
      <formula1>-1000000000000000000</formula1>
      <formula2>1000000000000000000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V91">
      <formula1>-1000000000000000000</formula1>
      <formula2>1000000000000000000</formula2>
    </dataValidation>
    <dataValidation type="decimal" showErrorMessage="1" errorTitle="Kesalahan Jenis Data" error="Data yang dimasukkan harus berupa Angka!" sqref="W91">
      <formula1>-1000000000000000000</formula1>
      <formula2>1000000000000000000</formula2>
    </dataValidation>
    <dataValidation type="decimal" showErrorMessage="1" errorTitle="Kesalahan Jenis Data" error="Data yang dimasukkan harus berupa Angka!" sqref="X91">
      <formula1>-1000000000000000000</formula1>
      <formula2>1000000000000000000</formula2>
    </dataValidation>
    <dataValidation type="decimal" showErrorMessage="1" errorTitle="Kesalahan Jenis Data" error="Data yang dimasukkan harus berupa Angka!" sqref="Y91">
      <formula1>-1000000000000000000</formula1>
      <formula2>1000000000000000000</formula2>
    </dataValidation>
    <dataValidation type="decimal" showErrorMessage="1" errorTitle="Kesalahan Jenis Data" error="Data yang dimasukkan harus berupa Angka!" sqref="Z91">
      <formula1>-1000000000000000000</formula1>
      <formula2>1000000000000000000</formula2>
    </dataValidation>
    <dataValidation type="decimal" showErrorMessage="1" errorTitle="Kesalahan Jenis Data" error="Data yang dimasukkan harus berupa Angka!" sqref="AA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O92">
      <formula1>-1000000000000000000</formula1>
      <formula2>1000000000000000000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V92">
      <formula1>-1000000000000000000</formula1>
      <formula2>1000000000000000000</formula2>
    </dataValidation>
    <dataValidation type="decimal" showErrorMessage="1" errorTitle="Kesalahan Jenis Data" error="Data yang dimasukkan harus berupa Angka!" sqref="W92">
      <formula1>-1000000000000000000</formula1>
      <formula2>1000000000000000000</formula2>
    </dataValidation>
    <dataValidation type="decimal" showErrorMessage="1" errorTitle="Kesalahan Jenis Data" error="Data yang dimasukkan harus berupa Angka!" sqref="X92">
      <formula1>-1000000000000000000</formula1>
      <formula2>1000000000000000000</formula2>
    </dataValidation>
    <dataValidation type="decimal" showErrorMessage="1" errorTitle="Kesalahan Jenis Data" error="Data yang dimasukkan harus berupa Angka!" sqref="Y92">
      <formula1>-1000000000000000000</formula1>
      <formula2>1000000000000000000</formula2>
    </dataValidation>
    <dataValidation type="decimal" showErrorMessage="1" errorTitle="Kesalahan Jenis Data" error="Data yang dimasukkan harus berupa Angka!" sqref="Z92">
      <formula1>-1000000000000000000</formula1>
      <formula2>1000000000000000000</formula2>
    </dataValidation>
    <dataValidation type="decimal" showErrorMessage="1" errorTitle="Kesalahan Jenis Data" error="Data yang dimasukkan harus berupa Angka!" sqref="AA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O93">
      <formula1>-1000000000000000000</formula1>
      <formula2>1000000000000000000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V93">
      <formula1>-1000000000000000000</formula1>
      <formula2>1000000000000000000</formula2>
    </dataValidation>
    <dataValidation type="decimal" showErrorMessage="1" errorTitle="Kesalahan Jenis Data" error="Data yang dimasukkan harus berupa Angka!" sqref="W93">
      <formula1>-1000000000000000000</formula1>
      <formula2>1000000000000000000</formula2>
    </dataValidation>
    <dataValidation type="decimal" showErrorMessage="1" errorTitle="Kesalahan Jenis Data" error="Data yang dimasukkan harus berupa Angka!" sqref="X93">
      <formula1>-1000000000000000000</formula1>
      <formula2>1000000000000000000</formula2>
    </dataValidation>
    <dataValidation type="decimal" showErrorMessage="1" errorTitle="Kesalahan Jenis Data" error="Data yang dimasukkan harus berupa Angka!" sqref="Y93">
      <formula1>-1000000000000000000</formula1>
      <formula2>1000000000000000000</formula2>
    </dataValidation>
    <dataValidation type="decimal" showErrorMessage="1" errorTitle="Kesalahan Jenis Data" error="Data yang dimasukkan harus berupa Angka!" sqref="Z93">
      <formula1>-1000000000000000000</formula1>
      <formula2>1000000000000000000</formula2>
    </dataValidation>
    <dataValidation type="decimal" showErrorMessage="1" errorTitle="Kesalahan Jenis Data" error="Data yang dimasukkan harus berupa Angka!" sqref="AA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O94">
      <formula1>-1000000000000000000</formula1>
      <formula2>1000000000000000000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V94">
      <formula1>-1000000000000000000</formula1>
      <formula2>1000000000000000000</formula2>
    </dataValidation>
    <dataValidation type="decimal" showErrorMessage="1" errorTitle="Kesalahan Jenis Data" error="Data yang dimasukkan harus berupa Angka!" sqref="W94">
      <formula1>-1000000000000000000</formula1>
      <formula2>1000000000000000000</formula2>
    </dataValidation>
    <dataValidation type="decimal" showErrorMessage="1" errorTitle="Kesalahan Jenis Data" error="Data yang dimasukkan harus berupa Angka!" sqref="X94">
      <formula1>-1000000000000000000</formula1>
      <formula2>1000000000000000000</formula2>
    </dataValidation>
    <dataValidation type="decimal" showErrorMessage="1" errorTitle="Kesalahan Jenis Data" error="Data yang dimasukkan harus berupa Angka!" sqref="Y94">
      <formula1>-1000000000000000000</formula1>
      <formula2>1000000000000000000</formula2>
    </dataValidation>
    <dataValidation type="decimal" showErrorMessage="1" errorTitle="Kesalahan Jenis Data" error="Data yang dimasukkan harus berupa Angka!" sqref="Z94">
      <formula1>-1000000000000000000</formula1>
      <formula2>1000000000000000000</formula2>
    </dataValidation>
    <dataValidation type="decimal" showErrorMessage="1" errorTitle="Kesalahan Jenis Data" error="Data yang dimasukkan harus berupa Angka!" sqref="AA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O95">
      <formula1>-1000000000000000000</formula1>
      <formula2>1000000000000000000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V95">
      <formula1>-1000000000000000000</formula1>
      <formula2>1000000000000000000</formula2>
    </dataValidation>
    <dataValidation type="decimal" showErrorMessage="1" errorTitle="Kesalahan Jenis Data" error="Data yang dimasukkan harus berupa Angka!" sqref="W95">
      <formula1>-1000000000000000000</formula1>
      <formula2>1000000000000000000</formula2>
    </dataValidation>
    <dataValidation type="decimal" showErrorMessage="1" errorTitle="Kesalahan Jenis Data" error="Data yang dimasukkan harus berupa Angka!" sqref="X95">
      <formula1>-1000000000000000000</formula1>
      <formula2>1000000000000000000</formula2>
    </dataValidation>
    <dataValidation type="decimal" showErrorMessage="1" errorTitle="Kesalahan Jenis Data" error="Data yang dimasukkan harus berupa Angka!" sqref="Y95">
      <formula1>-1000000000000000000</formula1>
      <formula2>1000000000000000000</formula2>
    </dataValidation>
    <dataValidation type="decimal" showErrorMessage="1" errorTitle="Kesalahan Jenis Data" error="Data yang dimasukkan harus berupa Angka!" sqref="Z95">
      <formula1>-1000000000000000000</formula1>
      <formula2>1000000000000000000</formula2>
    </dataValidation>
    <dataValidation type="decimal" showErrorMessage="1" errorTitle="Kesalahan Jenis Data" error="Data yang dimasukkan harus berupa Angka!" sqref="AA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O96">
      <formula1>-1000000000000000000</formula1>
      <formula2>1000000000000000000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V96">
      <formula1>-1000000000000000000</formula1>
      <formula2>1000000000000000000</formula2>
    </dataValidation>
    <dataValidation type="decimal" showErrorMessage="1" errorTitle="Kesalahan Jenis Data" error="Data yang dimasukkan harus berupa Angka!" sqref="W96">
      <formula1>-1000000000000000000</formula1>
      <formula2>1000000000000000000</formula2>
    </dataValidation>
    <dataValidation type="decimal" showErrorMessage="1" errorTitle="Kesalahan Jenis Data" error="Data yang dimasukkan harus berupa Angka!" sqref="X96">
      <formula1>-1000000000000000000</formula1>
      <formula2>1000000000000000000</formula2>
    </dataValidation>
    <dataValidation type="decimal" showErrorMessage="1" errorTitle="Kesalahan Jenis Data" error="Data yang dimasukkan harus berupa Angka!" sqref="Y96">
      <formula1>-1000000000000000000</formula1>
      <formula2>1000000000000000000</formula2>
    </dataValidation>
    <dataValidation type="decimal" showErrorMessage="1" errorTitle="Kesalahan Jenis Data" error="Data yang dimasukkan harus berupa Angka!" sqref="Z96">
      <formula1>-1000000000000000000</formula1>
      <formula2>1000000000000000000</formula2>
    </dataValidation>
    <dataValidation type="decimal" showErrorMessage="1" errorTitle="Kesalahan Jenis Data" error="Data yang dimasukkan harus berupa Angka!" sqref="AA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O97">
      <formula1>-1000000000000000000</formula1>
      <formula2>1000000000000000000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V97">
      <formula1>-1000000000000000000</formula1>
      <formula2>1000000000000000000</formula2>
    </dataValidation>
    <dataValidation type="decimal" showErrorMessage="1" errorTitle="Kesalahan Jenis Data" error="Data yang dimasukkan harus berupa Angka!" sqref="W97">
      <formula1>-1000000000000000000</formula1>
      <formula2>1000000000000000000</formula2>
    </dataValidation>
    <dataValidation type="decimal" showErrorMessage="1" errorTitle="Kesalahan Jenis Data" error="Data yang dimasukkan harus berupa Angka!" sqref="X97">
      <formula1>-1000000000000000000</formula1>
      <formula2>1000000000000000000</formula2>
    </dataValidation>
    <dataValidation type="decimal" showErrorMessage="1" errorTitle="Kesalahan Jenis Data" error="Data yang dimasukkan harus berupa Angka!" sqref="Y97">
      <formula1>-1000000000000000000</formula1>
      <formula2>1000000000000000000</formula2>
    </dataValidation>
    <dataValidation type="decimal" showErrorMessage="1" errorTitle="Kesalahan Jenis Data" error="Data yang dimasukkan harus berupa Angka!" sqref="Z97">
      <formula1>-1000000000000000000</formula1>
      <formula2>1000000000000000000</formula2>
    </dataValidation>
    <dataValidation type="decimal" showErrorMessage="1" errorTitle="Kesalahan Jenis Data" error="Data yang dimasukkan harus berupa Angka!" sqref="AA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O98">
      <formula1>-1000000000000000000</formula1>
      <formula2>1000000000000000000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V98">
      <formula1>-1000000000000000000</formula1>
      <formula2>1000000000000000000</formula2>
    </dataValidation>
    <dataValidation type="decimal" showErrorMessage="1" errorTitle="Kesalahan Jenis Data" error="Data yang dimasukkan harus berupa Angka!" sqref="W98">
      <formula1>-1000000000000000000</formula1>
      <formula2>1000000000000000000</formula2>
    </dataValidation>
    <dataValidation type="decimal" showErrorMessage="1" errorTitle="Kesalahan Jenis Data" error="Data yang dimasukkan harus berupa Angka!" sqref="X98">
      <formula1>-1000000000000000000</formula1>
      <formula2>1000000000000000000</formula2>
    </dataValidation>
    <dataValidation type="decimal" showErrorMessage="1" errorTitle="Kesalahan Jenis Data" error="Data yang dimasukkan harus berupa Angka!" sqref="Y98">
      <formula1>-1000000000000000000</formula1>
      <formula2>1000000000000000000</formula2>
    </dataValidation>
    <dataValidation type="decimal" showErrorMessage="1" errorTitle="Kesalahan Jenis Data" error="Data yang dimasukkan harus berupa Angka!" sqref="Z98">
      <formula1>-1000000000000000000</formula1>
      <formula2>1000000000000000000</formula2>
    </dataValidation>
    <dataValidation type="decimal" showErrorMessage="1" errorTitle="Kesalahan Jenis Data" error="Data yang dimasukkan harus berupa Angka!" sqref="AA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O99">
      <formula1>-1000000000000000000</formula1>
      <formula2>1000000000000000000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V99">
      <formula1>-1000000000000000000</formula1>
      <formula2>1000000000000000000</formula2>
    </dataValidation>
    <dataValidation type="decimal" showErrorMessage="1" errorTitle="Kesalahan Jenis Data" error="Data yang dimasukkan harus berupa Angka!" sqref="W99">
      <formula1>-1000000000000000000</formula1>
      <formula2>1000000000000000000</formula2>
    </dataValidation>
    <dataValidation type="decimal" showErrorMessage="1" errorTitle="Kesalahan Jenis Data" error="Data yang dimasukkan harus berupa Angka!" sqref="X99">
      <formula1>-1000000000000000000</formula1>
      <formula2>1000000000000000000</formula2>
    </dataValidation>
    <dataValidation type="decimal" showErrorMessage="1" errorTitle="Kesalahan Jenis Data" error="Data yang dimasukkan harus berupa Angka!" sqref="Y99">
      <formula1>-1000000000000000000</formula1>
      <formula2>1000000000000000000</formula2>
    </dataValidation>
    <dataValidation type="decimal" showErrorMessage="1" errorTitle="Kesalahan Jenis Data" error="Data yang dimasukkan harus berupa Angka!" sqref="Z99">
      <formula1>-1000000000000000000</formula1>
      <formula2>1000000000000000000</formula2>
    </dataValidation>
    <dataValidation type="decimal" showErrorMessage="1" errorTitle="Kesalahan Jenis Data" error="Data yang dimasukkan harus berupa Angka!" sqref="AA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O100">
      <formula1>-1000000000000000000</formula1>
      <formula2>1000000000000000000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V100">
      <formula1>-1000000000000000000</formula1>
      <formula2>1000000000000000000</formula2>
    </dataValidation>
    <dataValidation type="decimal" showErrorMessage="1" errorTitle="Kesalahan Jenis Data" error="Data yang dimasukkan harus berupa Angka!" sqref="W100">
      <formula1>-1000000000000000000</formula1>
      <formula2>1000000000000000000</formula2>
    </dataValidation>
    <dataValidation type="decimal" showErrorMessage="1" errorTitle="Kesalahan Jenis Data" error="Data yang dimasukkan harus berupa Angka!" sqref="X100">
      <formula1>-1000000000000000000</formula1>
      <formula2>1000000000000000000</formula2>
    </dataValidation>
    <dataValidation type="decimal" showErrorMessage="1" errorTitle="Kesalahan Jenis Data" error="Data yang dimasukkan harus berupa Angka!" sqref="Y100">
      <formula1>-1000000000000000000</formula1>
      <formula2>1000000000000000000</formula2>
    </dataValidation>
    <dataValidation type="decimal" showErrorMessage="1" errorTitle="Kesalahan Jenis Data" error="Data yang dimasukkan harus berupa Angka!" sqref="Z100">
      <formula1>-1000000000000000000</formula1>
      <formula2>1000000000000000000</formula2>
    </dataValidation>
    <dataValidation type="decimal" showErrorMessage="1" errorTitle="Kesalahan Jenis Data" error="Data yang dimasukkan harus berupa Angka!" sqref="AA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O101">
      <formula1>-1000000000000000000</formula1>
      <formula2>1000000000000000000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V101">
      <formula1>-1000000000000000000</formula1>
      <formula2>1000000000000000000</formula2>
    </dataValidation>
    <dataValidation type="decimal" showErrorMessage="1" errorTitle="Kesalahan Jenis Data" error="Data yang dimasukkan harus berupa Angka!" sqref="W101">
      <formula1>-1000000000000000000</formula1>
      <formula2>1000000000000000000</formula2>
    </dataValidation>
    <dataValidation type="decimal" showErrorMessage="1" errorTitle="Kesalahan Jenis Data" error="Data yang dimasukkan harus berupa Angka!" sqref="X101">
      <formula1>-1000000000000000000</formula1>
      <formula2>1000000000000000000</formula2>
    </dataValidation>
    <dataValidation type="decimal" showErrorMessage="1" errorTitle="Kesalahan Jenis Data" error="Data yang dimasukkan harus berupa Angka!" sqref="Y101">
      <formula1>-1000000000000000000</formula1>
      <formula2>1000000000000000000</formula2>
    </dataValidation>
    <dataValidation type="decimal" showErrorMessage="1" errorTitle="Kesalahan Jenis Data" error="Data yang dimasukkan harus berupa Angka!" sqref="Z101">
      <formula1>-1000000000000000000</formula1>
      <formula2>1000000000000000000</formula2>
    </dataValidation>
    <dataValidation type="decimal" showErrorMessage="1" errorTitle="Kesalahan Jenis Data" error="Data yang dimasukkan harus berupa Angka!" sqref="AA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O102">
      <formula1>-1000000000000000000</formula1>
      <formula2>1000000000000000000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V102">
      <formula1>-1000000000000000000</formula1>
      <formula2>1000000000000000000</formula2>
    </dataValidation>
    <dataValidation type="decimal" showErrorMessage="1" errorTitle="Kesalahan Jenis Data" error="Data yang dimasukkan harus berupa Angka!" sqref="W102">
      <formula1>-1000000000000000000</formula1>
      <formula2>1000000000000000000</formula2>
    </dataValidation>
    <dataValidation type="decimal" showErrorMessage="1" errorTitle="Kesalahan Jenis Data" error="Data yang dimasukkan harus berupa Angka!" sqref="X102">
      <formula1>-1000000000000000000</formula1>
      <formula2>1000000000000000000</formula2>
    </dataValidation>
    <dataValidation type="decimal" showErrorMessage="1" errorTitle="Kesalahan Jenis Data" error="Data yang dimasukkan harus berupa Angka!" sqref="Y102">
      <formula1>-1000000000000000000</formula1>
      <formula2>1000000000000000000</formula2>
    </dataValidation>
    <dataValidation type="decimal" showErrorMessage="1" errorTitle="Kesalahan Jenis Data" error="Data yang dimasukkan harus berupa Angka!" sqref="Z102">
      <formula1>-1000000000000000000</formula1>
      <formula2>1000000000000000000</formula2>
    </dataValidation>
    <dataValidation type="decimal" showErrorMessage="1" errorTitle="Kesalahan Jenis Data" error="Data yang dimasukkan harus berupa Angka!" sqref="AA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O103">
      <formula1>-1000000000000000000</formula1>
      <formula2>1000000000000000000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V103">
      <formula1>-1000000000000000000</formula1>
      <formula2>1000000000000000000</formula2>
    </dataValidation>
    <dataValidation type="decimal" showErrorMessage="1" errorTitle="Kesalahan Jenis Data" error="Data yang dimasukkan harus berupa Angka!" sqref="W103">
      <formula1>-1000000000000000000</formula1>
      <formula2>1000000000000000000</formula2>
    </dataValidation>
    <dataValidation type="decimal" showErrorMessage="1" errorTitle="Kesalahan Jenis Data" error="Data yang dimasukkan harus berupa Angka!" sqref="X103">
      <formula1>-1000000000000000000</formula1>
      <formula2>1000000000000000000</formula2>
    </dataValidation>
    <dataValidation type="decimal" showErrorMessage="1" errorTitle="Kesalahan Jenis Data" error="Data yang dimasukkan harus berupa Angka!" sqref="Y103">
      <formula1>-1000000000000000000</formula1>
      <formula2>1000000000000000000</formula2>
    </dataValidation>
    <dataValidation type="decimal" showErrorMessage="1" errorTitle="Kesalahan Jenis Data" error="Data yang dimasukkan harus berupa Angka!" sqref="Z103">
      <formula1>-1000000000000000000</formula1>
      <formula2>1000000000000000000</formula2>
    </dataValidation>
    <dataValidation type="decimal" showErrorMessage="1" errorTitle="Kesalahan Jenis Data" error="Data yang dimasukkan harus berupa Angka!" sqref="AA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O104">
      <formula1>-1000000000000000000</formula1>
      <formula2>1000000000000000000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V104">
      <formula1>-1000000000000000000</formula1>
      <formula2>1000000000000000000</formula2>
    </dataValidation>
    <dataValidation type="decimal" showErrorMessage="1" errorTitle="Kesalahan Jenis Data" error="Data yang dimasukkan harus berupa Angka!" sqref="W104">
      <formula1>-1000000000000000000</formula1>
      <formula2>1000000000000000000</formula2>
    </dataValidation>
    <dataValidation type="decimal" showErrorMessage="1" errorTitle="Kesalahan Jenis Data" error="Data yang dimasukkan harus berupa Angka!" sqref="X104">
      <formula1>-1000000000000000000</formula1>
      <formula2>1000000000000000000</formula2>
    </dataValidation>
    <dataValidation type="decimal" showErrorMessage="1" errorTitle="Kesalahan Jenis Data" error="Data yang dimasukkan harus berupa Angka!" sqref="Y104">
      <formula1>-1000000000000000000</formula1>
      <formula2>1000000000000000000</formula2>
    </dataValidation>
    <dataValidation type="decimal" showErrorMessage="1" errorTitle="Kesalahan Jenis Data" error="Data yang dimasukkan harus berupa Angka!" sqref="Z104">
      <formula1>-1000000000000000000</formula1>
      <formula2>1000000000000000000</formula2>
    </dataValidation>
    <dataValidation type="decimal" showErrorMessage="1" errorTitle="Kesalahan Jenis Data" error="Data yang dimasukkan harus berupa Angka!" sqref="AA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O105">
      <formula1>-1000000000000000000</formula1>
      <formula2>1000000000000000000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V105">
      <formula1>-1000000000000000000</formula1>
      <formula2>1000000000000000000</formula2>
    </dataValidation>
    <dataValidation type="decimal" showErrorMessage="1" errorTitle="Kesalahan Jenis Data" error="Data yang dimasukkan harus berupa Angka!" sqref="W105">
      <formula1>-1000000000000000000</formula1>
      <formula2>1000000000000000000</formula2>
    </dataValidation>
    <dataValidation type="decimal" showErrorMessage="1" errorTitle="Kesalahan Jenis Data" error="Data yang dimasukkan harus berupa Angka!" sqref="X105">
      <formula1>-1000000000000000000</formula1>
      <formula2>1000000000000000000</formula2>
    </dataValidation>
    <dataValidation type="decimal" showErrorMessage="1" errorTitle="Kesalahan Jenis Data" error="Data yang dimasukkan harus berupa Angka!" sqref="Y105">
      <formula1>-1000000000000000000</formula1>
      <formula2>1000000000000000000</formula2>
    </dataValidation>
    <dataValidation type="decimal" showErrorMessage="1" errorTitle="Kesalahan Jenis Data" error="Data yang dimasukkan harus berupa Angka!" sqref="Z105">
      <formula1>-1000000000000000000</formula1>
      <formula2>1000000000000000000</formula2>
    </dataValidation>
    <dataValidation type="decimal" showErrorMessage="1" errorTitle="Kesalahan Jenis Data" error="Data yang dimasukkan harus berupa Angka!" sqref="AA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O106">
      <formula1>-1000000000000000000</formula1>
      <formula2>1000000000000000000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V106">
      <formula1>-1000000000000000000</formula1>
      <formula2>1000000000000000000</formula2>
    </dataValidation>
    <dataValidation type="decimal" showErrorMessage="1" errorTitle="Kesalahan Jenis Data" error="Data yang dimasukkan harus berupa Angka!" sqref="W106">
      <formula1>-1000000000000000000</formula1>
      <formula2>1000000000000000000</formula2>
    </dataValidation>
    <dataValidation type="decimal" showErrorMessage="1" errorTitle="Kesalahan Jenis Data" error="Data yang dimasukkan harus berupa Angka!" sqref="X106">
      <formula1>-1000000000000000000</formula1>
      <formula2>1000000000000000000</formula2>
    </dataValidation>
    <dataValidation type="decimal" showErrorMessage="1" errorTitle="Kesalahan Jenis Data" error="Data yang dimasukkan harus berupa Angka!" sqref="Y106">
      <formula1>-1000000000000000000</formula1>
      <formula2>1000000000000000000</formula2>
    </dataValidation>
    <dataValidation type="decimal" showErrorMessage="1" errorTitle="Kesalahan Jenis Data" error="Data yang dimasukkan harus berupa Angka!" sqref="Z106">
      <formula1>-1000000000000000000</formula1>
      <formula2>1000000000000000000</formula2>
    </dataValidation>
    <dataValidation type="decimal" showErrorMessage="1" errorTitle="Kesalahan Jenis Data" error="Data yang dimasukkan harus berupa Angka!" sqref="AA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O107">
      <formula1>-1000000000000000000</formula1>
      <formula2>1000000000000000000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V107">
      <formula1>-1000000000000000000</formula1>
      <formula2>1000000000000000000</formula2>
    </dataValidation>
    <dataValidation type="decimal" showErrorMessage="1" errorTitle="Kesalahan Jenis Data" error="Data yang dimasukkan harus berupa Angka!" sqref="W107">
      <formula1>-1000000000000000000</formula1>
      <formula2>1000000000000000000</formula2>
    </dataValidation>
    <dataValidation type="decimal" showErrorMessage="1" errorTitle="Kesalahan Jenis Data" error="Data yang dimasukkan harus berupa Angka!" sqref="X107">
      <formula1>-1000000000000000000</formula1>
      <formula2>1000000000000000000</formula2>
    </dataValidation>
    <dataValidation type="decimal" showErrorMessage="1" errorTitle="Kesalahan Jenis Data" error="Data yang dimasukkan harus berupa Angka!" sqref="Y107">
      <formula1>-1000000000000000000</formula1>
      <formula2>1000000000000000000</formula2>
    </dataValidation>
    <dataValidation type="decimal" showErrorMessage="1" errorTitle="Kesalahan Jenis Data" error="Data yang dimasukkan harus berupa Angka!" sqref="Z107">
      <formula1>-1000000000000000000</formula1>
      <formula2>1000000000000000000</formula2>
    </dataValidation>
    <dataValidation type="decimal" showErrorMessage="1" errorTitle="Kesalahan Jenis Data" error="Data yang dimasukkan harus berupa Angka!" sqref="AA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O108">
      <formula1>-1000000000000000000</formula1>
      <formula2>1000000000000000000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V108">
      <formula1>-1000000000000000000</formula1>
      <formula2>1000000000000000000</formula2>
    </dataValidation>
    <dataValidation type="decimal" showErrorMessage="1" errorTitle="Kesalahan Jenis Data" error="Data yang dimasukkan harus berupa Angka!" sqref="W108">
      <formula1>-1000000000000000000</formula1>
      <formula2>1000000000000000000</formula2>
    </dataValidation>
    <dataValidation type="decimal" showErrorMessage="1" errorTitle="Kesalahan Jenis Data" error="Data yang dimasukkan harus berupa Angka!" sqref="X108">
      <formula1>-1000000000000000000</formula1>
      <formula2>1000000000000000000</formula2>
    </dataValidation>
    <dataValidation type="decimal" showErrorMessage="1" errorTitle="Kesalahan Jenis Data" error="Data yang dimasukkan harus berupa Angka!" sqref="Y108">
      <formula1>-1000000000000000000</formula1>
      <formula2>1000000000000000000</formula2>
    </dataValidation>
    <dataValidation type="decimal" showErrorMessage="1" errorTitle="Kesalahan Jenis Data" error="Data yang dimasukkan harus berupa Angka!" sqref="Z108">
      <formula1>-1000000000000000000</formula1>
      <formula2>1000000000000000000</formula2>
    </dataValidation>
    <dataValidation type="decimal" showErrorMessage="1" errorTitle="Kesalahan Jenis Data" error="Data yang dimasukkan harus berupa Angka!" sqref="AA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O109">
      <formula1>-1000000000000000000</formula1>
      <formula2>1000000000000000000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V109">
      <formula1>-1000000000000000000</formula1>
      <formula2>1000000000000000000</formula2>
    </dataValidation>
    <dataValidation type="decimal" showErrorMessage="1" errorTitle="Kesalahan Jenis Data" error="Data yang dimasukkan harus berupa Angka!" sqref="W109">
      <formula1>-1000000000000000000</formula1>
      <formula2>1000000000000000000</formula2>
    </dataValidation>
    <dataValidation type="decimal" showErrorMessage="1" errorTitle="Kesalahan Jenis Data" error="Data yang dimasukkan harus berupa Angka!" sqref="X109">
      <formula1>-1000000000000000000</formula1>
      <formula2>1000000000000000000</formula2>
    </dataValidation>
    <dataValidation type="decimal" showErrorMessage="1" errorTitle="Kesalahan Jenis Data" error="Data yang dimasukkan harus berupa Angka!" sqref="Y109">
      <formula1>-1000000000000000000</formula1>
      <formula2>1000000000000000000</formula2>
    </dataValidation>
    <dataValidation type="decimal" showErrorMessage="1" errorTitle="Kesalahan Jenis Data" error="Data yang dimasukkan harus berupa Angka!" sqref="Z109">
      <formula1>-1000000000000000000</formula1>
      <formula2>1000000000000000000</formula2>
    </dataValidation>
    <dataValidation type="decimal" showErrorMessage="1" errorTitle="Kesalahan Jenis Data" error="Data yang dimasukkan harus berupa Angka!" sqref="AA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O110">
      <formula1>-1000000000000000000</formula1>
      <formula2>1000000000000000000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V110">
      <formula1>-1000000000000000000</formula1>
      <formula2>1000000000000000000</formula2>
    </dataValidation>
    <dataValidation type="decimal" showErrorMessage="1" errorTitle="Kesalahan Jenis Data" error="Data yang dimasukkan harus berupa Angka!" sqref="W110">
      <formula1>-1000000000000000000</formula1>
      <formula2>1000000000000000000</formula2>
    </dataValidation>
    <dataValidation type="decimal" showErrorMessage="1" errorTitle="Kesalahan Jenis Data" error="Data yang dimasukkan harus berupa Angka!" sqref="X110">
      <formula1>-1000000000000000000</formula1>
      <formula2>1000000000000000000</formula2>
    </dataValidation>
    <dataValidation type="decimal" showErrorMessage="1" errorTitle="Kesalahan Jenis Data" error="Data yang dimasukkan harus berupa Angka!" sqref="Y110">
      <formula1>-1000000000000000000</formula1>
      <formula2>1000000000000000000</formula2>
    </dataValidation>
    <dataValidation type="decimal" showErrorMessage="1" errorTitle="Kesalahan Jenis Data" error="Data yang dimasukkan harus berupa Angka!" sqref="Z110">
      <formula1>-1000000000000000000</formula1>
      <formula2>1000000000000000000</formula2>
    </dataValidation>
    <dataValidation type="decimal" showErrorMessage="1" errorTitle="Kesalahan Jenis Data" error="Data yang dimasukkan harus berupa Angka!" sqref="AA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O111">
      <formula1>-1000000000000000000</formula1>
      <formula2>1000000000000000000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V111">
      <formula1>-1000000000000000000</formula1>
      <formula2>1000000000000000000</formula2>
    </dataValidation>
    <dataValidation type="decimal" showErrorMessage="1" errorTitle="Kesalahan Jenis Data" error="Data yang dimasukkan harus berupa Angka!" sqref="W111">
      <formula1>-1000000000000000000</formula1>
      <formula2>1000000000000000000</formula2>
    </dataValidation>
    <dataValidation type="decimal" showErrorMessage="1" errorTitle="Kesalahan Jenis Data" error="Data yang dimasukkan harus berupa Angka!" sqref="X111">
      <formula1>-1000000000000000000</formula1>
      <formula2>1000000000000000000</formula2>
    </dataValidation>
    <dataValidation type="decimal" showErrorMessage="1" errorTitle="Kesalahan Jenis Data" error="Data yang dimasukkan harus berupa Angka!" sqref="Y111">
      <formula1>-1000000000000000000</formula1>
      <formula2>1000000000000000000</formula2>
    </dataValidation>
    <dataValidation type="decimal" showErrorMessage="1" errorTitle="Kesalahan Jenis Data" error="Data yang dimasukkan harus berupa Angka!" sqref="Z111">
      <formula1>-1000000000000000000</formula1>
      <formula2>1000000000000000000</formula2>
    </dataValidation>
    <dataValidation type="decimal" showErrorMessage="1" errorTitle="Kesalahan Jenis Data" error="Data yang dimasukkan harus berupa Angka!" sqref="AA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O112">
      <formula1>-1000000000000000000</formula1>
      <formula2>1000000000000000000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V112">
      <formula1>-1000000000000000000</formula1>
      <formula2>1000000000000000000</formula2>
    </dataValidation>
    <dataValidation type="decimal" showErrorMessage="1" errorTitle="Kesalahan Jenis Data" error="Data yang dimasukkan harus berupa Angka!" sqref="W112">
      <formula1>-1000000000000000000</formula1>
      <formula2>1000000000000000000</formula2>
    </dataValidation>
    <dataValidation type="decimal" showErrorMessage="1" errorTitle="Kesalahan Jenis Data" error="Data yang dimasukkan harus berupa Angka!" sqref="X112">
      <formula1>-1000000000000000000</formula1>
      <formula2>1000000000000000000</formula2>
    </dataValidation>
    <dataValidation type="decimal" showErrorMessage="1" errorTitle="Kesalahan Jenis Data" error="Data yang dimasukkan harus berupa Angka!" sqref="Y112">
      <formula1>-1000000000000000000</formula1>
      <formula2>1000000000000000000</formula2>
    </dataValidation>
    <dataValidation type="decimal" showErrorMessage="1" errorTitle="Kesalahan Jenis Data" error="Data yang dimasukkan harus berupa Angka!" sqref="Z112">
      <formula1>-1000000000000000000</formula1>
      <formula2>1000000000000000000</formula2>
    </dataValidation>
    <dataValidation type="decimal" showErrorMessage="1" errorTitle="Kesalahan Jenis Data" error="Data yang dimasukkan harus berupa Angka!" sqref="AA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O113">
      <formula1>-1000000000000000000</formula1>
      <formula2>1000000000000000000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V113">
      <formula1>-1000000000000000000</formula1>
      <formula2>1000000000000000000</formula2>
    </dataValidation>
    <dataValidation type="decimal" showErrorMessage="1" errorTitle="Kesalahan Jenis Data" error="Data yang dimasukkan harus berupa Angka!" sqref="W113">
      <formula1>-1000000000000000000</formula1>
      <formula2>1000000000000000000</formula2>
    </dataValidation>
    <dataValidation type="decimal" showErrorMessage="1" errorTitle="Kesalahan Jenis Data" error="Data yang dimasukkan harus berupa Angka!" sqref="X113">
      <formula1>-1000000000000000000</formula1>
      <formula2>1000000000000000000</formula2>
    </dataValidation>
    <dataValidation type="decimal" showErrorMessage="1" errorTitle="Kesalahan Jenis Data" error="Data yang dimasukkan harus berupa Angka!" sqref="Y113">
      <formula1>-1000000000000000000</formula1>
      <formula2>1000000000000000000</formula2>
    </dataValidation>
    <dataValidation type="decimal" showErrorMessage="1" errorTitle="Kesalahan Jenis Data" error="Data yang dimasukkan harus berupa Angka!" sqref="Z113">
      <formula1>-1000000000000000000</formula1>
      <formula2>1000000000000000000</formula2>
    </dataValidation>
    <dataValidation type="decimal" showErrorMessage="1" errorTitle="Kesalahan Jenis Data" error="Data yang dimasukkan harus berupa Angka!" sqref="AA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O114">
      <formula1>-1000000000000000000</formula1>
      <formula2>1000000000000000000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V114">
      <formula1>-1000000000000000000</formula1>
      <formula2>1000000000000000000</formula2>
    </dataValidation>
    <dataValidation type="decimal" showErrorMessage="1" errorTitle="Kesalahan Jenis Data" error="Data yang dimasukkan harus berupa Angka!" sqref="W114">
      <formula1>-1000000000000000000</formula1>
      <formula2>1000000000000000000</formula2>
    </dataValidation>
    <dataValidation type="decimal" showErrorMessage="1" errorTitle="Kesalahan Jenis Data" error="Data yang dimasukkan harus berupa Angka!" sqref="X114">
      <formula1>-1000000000000000000</formula1>
      <formula2>1000000000000000000</formula2>
    </dataValidation>
    <dataValidation type="decimal" showErrorMessage="1" errorTitle="Kesalahan Jenis Data" error="Data yang dimasukkan harus berupa Angka!" sqref="Y114">
      <formula1>-1000000000000000000</formula1>
      <formula2>1000000000000000000</formula2>
    </dataValidation>
    <dataValidation type="decimal" showErrorMessage="1" errorTitle="Kesalahan Jenis Data" error="Data yang dimasukkan harus berupa Angka!" sqref="Z114">
      <formula1>-1000000000000000000</formula1>
      <formula2>1000000000000000000</formula2>
    </dataValidation>
    <dataValidation type="decimal" showErrorMessage="1" errorTitle="Kesalahan Jenis Data" error="Data yang dimasukkan harus berupa Angka!" sqref="AA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  <dataValidation type="decimal" showErrorMessage="1" errorTitle="Kesalahan Jenis Data" error="Data yang dimasukkan harus berupa Angka!" sqref="O115">
      <formula1>-1000000000000000000</formula1>
      <formula2>1000000000000000000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V115">
      <formula1>-1000000000000000000</formula1>
      <formula2>1000000000000000000</formula2>
    </dataValidation>
    <dataValidation type="decimal" showErrorMessage="1" errorTitle="Kesalahan Jenis Data" error="Data yang dimasukkan harus berupa Angka!" sqref="W115">
      <formula1>-1000000000000000000</formula1>
      <formula2>1000000000000000000</formula2>
    </dataValidation>
    <dataValidation type="decimal" showErrorMessage="1" errorTitle="Kesalahan Jenis Data" error="Data yang dimasukkan harus berupa Angka!" sqref="X115">
      <formula1>-1000000000000000000</formula1>
      <formula2>1000000000000000000</formula2>
    </dataValidation>
    <dataValidation type="decimal" showErrorMessage="1" errorTitle="Kesalahan Jenis Data" error="Data yang dimasukkan harus berupa Angka!" sqref="Y115">
      <formula1>-1000000000000000000</formula1>
      <formula2>1000000000000000000</formula2>
    </dataValidation>
    <dataValidation type="decimal" showErrorMessage="1" errorTitle="Kesalahan Jenis Data" error="Data yang dimasukkan harus berupa Angka!" sqref="Z115">
      <formula1>-1000000000000000000</formula1>
      <formula2>1000000000000000000</formula2>
    </dataValidation>
    <dataValidation type="decimal" showErrorMessage="1" errorTitle="Kesalahan Jenis Data" error="Data yang dimasukkan harus berupa Angka!" sqref="AA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>
      <c r="B2" s="9" t="s">
        <v>750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>
      <c r="B3" s="9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>
      <c r="B7" s="2"/>
      <c r="C7" s="45" t="str">
        <f>UPPER('Data Umum'!D7)</f>
        <v/>
      </c>
      <c r="D7" s="45"/>
      <c r="E7" s="45"/>
      <c r="F7" s="45"/>
      <c r="G7" s="45"/>
      <c r="H7" s="45"/>
      <c r="I7" s="45"/>
      <c r="J7" s="45"/>
      <c r="K7" s="45"/>
      <c r="L7" s="45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>
      <c r="B9" s="2"/>
      <c r="C9" s="46" t="s">
        <v>751</v>
      </c>
      <c r="D9" s="46"/>
      <c r="E9" s="46"/>
      <c r="F9" s="46"/>
      <c r="G9" s="46"/>
      <c r="H9" s="46"/>
      <c r="I9" s="46"/>
      <c r="J9" s="46"/>
      <c r="K9" s="46"/>
      <c r="L9" s="46"/>
      <c r="M9" s="2"/>
    </row>
    <row r="10" spans="2:13"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"/>
    </row>
    <row r="11" spans="2:13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47"/>
      <c r="J11" s="47"/>
      <c r="K11" s="47"/>
      <c r="L11" s="47"/>
      <c r="M11" s="2"/>
    </row>
    <row r="12" spans="2:13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/>
      <c r="C13" s="48" t="s">
        <v>232</v>
      </c>
      <c r="D13" s="48"/>
      <c r="E13" s="48"/>
      <c r="F13" s="48"/>
      <c r="G13" s="48"/>
      <c r="H13" s="48"/>
      <c r="I13" s="48"/>
      <c r="J13" s="48"/>
      <c r="K13" s="48"/>
      <c r="L13" s="48"/>
      <c r="M13" s="2"/>
    </row>
    <row r="14" spans="2:13">
      <c r="B14" s="2"/>
      <c r="C14" s="40" t="s">
        <v>126</v>
      </c>
      <c r="D14" s="38"/>
      <c r="E14" s="40" t="str">
        <f>""</f>
        <v/>
      </c>
      <c r="F14" s="38"/>
      <c r="G14" s="40" t="str">
        <f>"Pemasar Badan Hukum"</f>
        <v>Pemasar Badan Hukum</v>
      </c>
      <c r="H14" s="38"/>
      <c r="I14" s="40" t="str">
        <f>""</f>
        <v/>
      </c>
      <c r="J14" s="54"/>
      <c r="K14" s="54"/>
      <c r="L14" s="38"/>
      <c r="M14" s="2"/>
    </row>
    <row r="15" spans="2:13">
      <c r="B15" s="2"/>
      <c r="C15" s="41"/>
      <c r="D15" s="42"/>
      <c r="E15" s="43" t="str">
        <f>"Jenis Saluran Pemasaran"</f>
        <v>Jenis Saluran Pemasaran</v>
      </c>
      <c r="F15" s="43" t="str">
        <f>"Wilayah Pemasaran"</f>
        <v>Wilayah Pemasaran</v>
      </c>
      <c r="G15" s="43" t="str">
        <f>"Kategori Badan Hukum"</f>
        <v>Kategori Badan Hukum</v>
      </c>
      <c r="H15" s="43" t="str">
        <f>"Jumlah Badan Hukum"</f>
        <v>Jumlah Badan Hukum</v>
      </c>
      <c r="I15" s="43" t="str">
        <f>"Jumlah Pemasar Perorangan"</f>
        <v>Jumlah Pemasar Perorangan</v>
      </c>
      <c r="J15" s="43" t="str">
        <f>"Nama Produk Yang Dipasarkan"</f>
        <v>Nama Produk Yang Dipasarkan</v>
      </c>
      <c r="K15" s="43" t="str">
        <f>"Jumlah Peserta/Tertanggung"</f>
        <v>Jumlah Peserta/Tertanggung</v>
      </c>
      <c r="L15" s="43" t="str">
        <f>"Premi/Kontribusi Bruto (Rp)"</f>
        <v>Premi/Kontribusi Bruto (Rp)</v>
      </c>
      <c r="M15" s="2"/>
    </row>
    <row r="16" spans="2:13">
      <c r="B16" s="2"/>
      <c r="C16" s="37" t="s">
        <v>8</v>
      </c>
      <c r="D16" s="38"/>
      <c r="E16" s="39">
        <v>0</v>
      </c>
      <c r="F16" s="39">
        <v>0</v>
      </c>
      <c r="G16" s="39">
        <v>0</v>
      </c>
      <c r="H16" s="51">
        <v>0</v>
      </c>
      <c r="I16" s="51">
        <v>0</v>
      </c>
      <c r="J16" s="34" t="s">
        <v>103</v>
      </c>
      <c r="K16" s="51">
        <v>0</v>
      </c>
      <c r="L16" s="51">
        <v>0</v>
      </c>
      <c r="M16" s="2"/>
    </row>
    <row r="17" spans="2:13">
      <c r="B17" s="2"/>
      <c r="C17" s="37" t="s">
        <v>127</v>
      </c>
      <c r="D17" s="38"/>
      <c r="E17" s="39">
        <v>0</v>
      </c>
      <c r="F17" s="39">
        <v>0</v>
      </c>
      <c r="G17" s="39">
        <v>0</v>
      </c>
      <c r="H17" s="51">
        <v>0</v>
      </c>
      <c r="I17" s="51">
        <v>0</v>
      </c>
      <c r="J17" s="34" t="s">
        <v>103</v>
      </c>
      <c r="K17" s="51">
        <v>0</v>
      </c>
      <c r="L17" s="51">
        <v>0</v>
      </c>
      <c r="M17" s="2"/>
    </row>
    <row r="18" spans="2:13">
      <c r="B18" s="2"/>
      <c r="C18" s="37" t="s">
        <v>128</v>
      </c>
      <c r="D18" s="38"/>
      <c r="E18" s="39">
        <v>0</v>
      </c>
      <c r="F18" s="39">
        <v>0</v>
      </c>
      <c r="G18" s="39">
        <v>0</v>
      </c>
      <c r="H18" s="51">
        <v>0</v>
      </c>
      <c r="I18" s="51">
        <v>0</v>
      </c>
      <c r="J18" s="34" t="s">
        <v>103</v>
      </c>
      <c r="K18" s="51">
        <v>0</v>
      </c>
      <c r="L18" s="51">
        <v>0</v>
      </c>
      <c r="M18" s="2"/>
    </row>
    <row r="19" spans="2:13">
      <c r="B19" s="2"/>
      <c r="C19" s="37" t="s">
        <v>129</v>
      </c>
      <c r="D19" s="38"/>
      <c r="E19" s="39">
        <v>0</v>
      </c>
      <c r="F19" s="39">
        <v>0</v>
      </c>
      <c r="G19" s="39">
        <v>0</v>
      </c>
      <c r="H19" s="51">
        <v>0</v>
      </c>
      <c r="I19" s="51">
        <v>0</v>
      </c>
      <c r="J19" s="34" t="s">
        <v>103</v>
      </c>
      <c r="K19" s="51">
        <v>0</v>
      </c>
      <c r="L19" s="51">
        <v>0</v>
      </c>
      <c r="M19" s="2"/>
    </row>
    <row r="20" spans="2:13">
      <c r="B20" s="2"/>
      <c r="C20" s="37" t="s">
        <v>130</v>
      </c>
      <c r="D20" s="38"/>
      <c r="E20" s="39">
        <v>0</v>
      </c>
      <c r="F20" s="39">
        <v>0</v>
      </c>
      <c r="G20" s="39">
        <v>0</v>
      </c>
      <c r="H20" s="51">
        <v>0</v>
      </c>
      <c r="I20" s="51">
        <v>0</v>
      </c>
      <c r="J20" s="34" t="s">
        <v>103</v>
      </c>
      <c r="K20" s="51">
        <v>0</v>
      </c>
      <c r="L20" s="51">
        <v>0</v>
      </c>
      <c r="M20" s="2"/>
    </row>
    <row r="21" spans="2:13">
      <c r="B21" s="2"/>
      <c r="C21" s="37" t="s">
        <v>131</v>
      </c>
      <c r="D21" s="38"/>
      <c r="E21" s="39">
        <v>0</v>
      </c>
      <c r="F21" s="39">
        <v>0</v>
      </c>
      <c r="G21" s="39">
        <v>0</v>
      </c>
      <c r="H21" s="51">
        <v>0</v>
      </c>
      <c r="I21" s="51">
        <v>0</v>
      </c>
      <c r="J21" s="34" t="s">
        <v>103</v>
      </c>
      <c r="K21" s="51">
        <v>0</v>
      </c>
      <c r="L21" s="51">
        <v>0</v>
      </c>
      <c r="M21" s="2"/>
    </row>
    <row r="22" spans="2:13">
      <c r="B22" s="2"/>
      <c r="C22" s="37" t="s">
        <v>132</v>
      </c>
      <c r="D22" s="38"/>
      <c r="E22" s="39">
        <v>0</v>
      </c>
      <c r="F22" s="39">
        <v>0</v>
      </c>
      <c r="G22" s="39">
        <v>0</v>
      </c>
      <c r="H22" s="51">
        <v>0</v>
      </c>
      <c r="I22" s="51">
        <v>0</v>
      </c>
      <c r="J22" s="34" t="s">
        <v>103</v>
      </c>
      <c r="K22" s="51">
        <v>0</v>
      </c>
      <c r="L22" s="51">
        <v>0</v>
      </c>
      <c r="M22" s="2"/>
    </row>
    <row r="23" spans="2:13">
      <c r="B23" s="2"/>
      <c r="C23" s="37" t="s">
        <v>133</v>
      </c>
      <c r="D23" s="38"/>
      <c r="E23" s="39">
        <v>0</v>
      </c>
      <c r="F23" s="39">
        <v>0</v>
      </c>
      <c r="G23" s="39">
        <v>0</v>
      </c>
      <c r="H23" s="51">
        <v>0</v>
      </c>
      <c r="I23" s="51">
        <v>0</v>
      </c>
      <c r="J23" s="34" t="s">
        <v>103</v>
      </c>
      <c r="K23" s="51">
        <v>0</v>
      </c>
      <c r="L23" s="51">
        <v>0</v>
      </c>
      <c r="M23" s="2"/>
    </row>
    <row r="24" spans="2:13">
      <c r="B24" s="2"/>
      <c r="C24" s="37" t="s">
        <v>134</v>
      </c>
      <c r="D24" s="38"/>
      <c r="E24" s="39">
        <v>0</v>
      </c>
      <c r="F24" s="39">
        <v>0</v>
      </c>
      <c r="G24" s="39">
        <v>0</v>
      </c>
      <c r="H24" s="51">
        <v>0</v>
      </c>
      <c r="I24" s="51">
        <v>0</v>
      </c>
      <c r="J24" s="34" t="s">
        <v>103</v>
      </c>
      <c r="K24" s="51">
        <v>0</v>
      </c>
      <c r="L24" s="51">
        <v>0</v>
      </c>
      <c r="M24" s="2"/>
    </row>
    <row r="25" spans="2:13">
      <c r="B25" s="2"/>
      <c r="C25" s="37" t="s">
        <v>135</v>
      </c>
      <c r="D25" s="38"/>
      <c r="E25" s="39">
        <v>0</v>
      </c>
      <c r="F25" s="39">
        <v>0</v>
      </c>
      <c r="G25" s="39">
        <v>0</v>
      </c>
      <c r="H25" s="51">
        <v>0</v>
      </c>
      <c r="I25" s="51">
        <v>0</v>
      </c>
      <c r="J25" s="34" t="s">
        <v>103</v>
      </c>
      <c r="K25" s="51">
        <v>0</v>
      </c>
      <c r="L25" s="51">
        <v>0</v>
      </c>
      <c r="M25" s="2"/>
    </row>
    <row r="26" spans="2:13">
      <c r="B26" s="2"/>
      <c r="C26" s="37" t="s">
        <v>136</v>
      </c>
      <c r="D26" s="38"/>
      <c r="E26" s="39">
        <v>0</v>
      </c>
      <c r="F26" s="39">
        <v>0</v>
      </c>
      <c r="G26" s="39">
        <v>0</v>
      </c>
      <c r="H26" s="51">
        <v>0</v>
      </c>
      <c r="I26" s="51">
        <v>0</v>
      </c>
      <c r="J26" s="34" t="s">
        <v>103</v>
      </c>
      <c r="K26" s="51">
        <v>0</v>
      </c>
      <c r="L26" s="51">
        <v>0</v>
      </c>
      <c r="M26" s="2"/>
    </row>
    <row r="27" spans="2:13">
      <c r="B27" s="2"/>
      <c r="C27" s="37" t="s">
        <v>137</v>
      </c>
      <c r="D27" s="38"/>
      <c r="E27" s="39">
        <v>0</v>
      </c>
      <c r="F27" s="39">
        <v>0</v>
      </c>
      <c r="G27" s="39">
        <v>0</v>
      </c>
      <c r="H27" s="51">
        <v>0</v>
      </c>
      <c r="I27" s="51">
        <v>0</v>
      </c>
      <c r="J27" s="34" t="s">
        <v>103</v>
      </c>
      <c r="K27" s="51">
        <v>0</v>
      </c>
      <c r="L27" s="51">
        <v>0</v>
      </c>
      <c r="M27" s="2"/>
    </row>
    <row r="28" spans="2:13">
      <c r="B28" s="2"/>
      <c r="C28" s="37" t="s">
        <v>138</v>
      </c>
      <c r="D28" s="38"/>
      <c r="E28" s="39">
        <v>0</v>
      </c>
      <c r="F28" s="39">
        <v>0</v>
      </c>
      <c r="G28" s="39">
        <v>0</v>
      </c>
      <c r="H28" s="51">
        <v>0</v>
      </c>
      <c r="I28" s="51">
        <v>0</v>
      </c>
      <c r="J28" s="34" t="s">
        <v>103</v>
      </c>
      <c r="K28" s="51">
        <v>0</v>
      </c>
      <c r="L28" s="51">
        <v>0</v>
      </c>
      <c r="M28" s="2"/>
    </row>
    <row r="29" spans="2:13">
      <c r="B29" s="2"/>
      <c r="C29" s="37" t="s">
        <v>139</v>
      </c>
      <c r="D29" s="38"/>
      <c r="E29" s="39">
        <v>0</v>
      </c>
      <c r="F29" s="39">
        <v>0</v>
      </c>
      <c r="G29" s="39">
        <v>0</v>
      </c>
      <c r="H29" s="51">
        <v>0</v>
      </c>
      <c r="I29" s="51">
        <v>0</v>
      </c>
      <c r="J29" s="34" t="s">
        <v>103</v>
      </c>
      <c r="K29" s="51">
        <v>0</v>
      </c>
      <c r="L29" s="51">
        <v>0</v>
      </c>
      <c r="M29" s="2"/>
    </row>
    <row r="30" spans="2:13">
      <c r="B30" s="2"/>
      <c r="C30" s="37" t="s">
        <v>140</v>
      </c>
      <c r="D30" s="38"/>
      <c r="E30" s="39">
        <v>0</v>
      </c>
      <c r="F30" s="39">
        <v>0</v>
      </c>
      <c r="G30" s="39">
        <v>0</v>
      </c>
      <c r="H30" s="51">
        <v>0</v>
      </c>
      <c r="I30" s="51">
        <v>0</v>
      </c>
      <c r="J30" s="34" t="s">
        <v>103</v>
      </c>
      <c r="K30" s="51">
        <v>0</v>
      </c>
      <c r="L30" s="51">
        <v>0</v>
      </c>
      <c r="M30" s="2"/>
    </row>
    <row r="31" spans="2:13">
      <c r="B31" s="2"/>
      <c r="C31" s="37" t="s">
        <v>141</v>
      </c>
      <c r="D31" s="38"/>
      <c r="E31" s="39">
        <v>0</v>
      </c>
      <c r="F31" s="39">
        <v>0</v>
      </c>
      <c r="G31" s="39">
        <v>0</v>
      </c>
      <c r="H31" s="51">
        <v>0</v>
      </c>
      <c r="I31" s="51">
        <v>0</v>
      </c>
      <c r="J31" s="34" t="s">
        <v>103</v>
      </c>
      <c r="K31" s="51">
        <v>0</v>
      </c>
      <c r="L31" s="51">
        <v>0</v>
      </c>
      <c r="M31" s="2"/>
    </row>
    <row r="32" spans="2:13">
      <c r="B32" s="2"/>
      <c r="C32" s="37" t="s">
        <v>142</v>
      </c>
      <c r="D32" s="38"/>
      <c r="E32" s="39">
        <v>0</v>
      </c>
      <c r="F32" s="39">
        <v>0</v>
      </c>
      <c r="G32" s="39">
        <v>0</v>
      </c>
      <c r="H32" s="51">
        <v>0</v>
      </c>
      <c r="I32" s="51">
        <v>0</v>
      </c>
      <c r="J32" s="34" t="s">
        <v>103</v>
      </c>
      <c r="K32" s="51">
        <v>0</v>
      </c>
      <c r="L32" s="51">
        <v>0</v>
      </c>
      <c r="M32" s="2"/>
    </row>
    <row r="33" spans="2:13">
      <c r="B33" s="2"/>
      <c r="C33" s="37" t="s">
        <v>143</v>
      </c>
      <c r="D33" s="38"/>
      <c r="E33" s="39">
        <v>0</v>
      </c>
      <c r="F33" s="39">
        <v>0</v>
      </c>
      <c r="G33" s="39">
        <v>0</v>
      </c>
      <c r="H33" s="51">
        <v>0</v>
      </c>
      <c r="I33" s="51">
        <v>0</v>
      </c>
      <c r="J33" s="34" t="s">
        <v>103</v>
      </c>
      <c r="K33" s="51">
        <v>0</v>
      </c>
      <c r="L33" s="51">
        <v>0</v>
      </c>
      <c r="M33" s="2"/>
    </row>
    <row r="34" spans="2:13">
      <c r="B34" s="2"/>
      <c r="C34" s="37" t="s">
        <v>144</v>
      </c>
      <c r="D34" s="38"/>
      <c r="E34" s="39">
        <v>0</v>
      </c>
      <c r="F34" s="39">
        <v>0</v>
      </c>
      <c r="G34" s="39">
        <v>0</v>
      </c>
      <c r="H34" s="51">
        <v>0</v>
      </c>
      <c r="I34" s="51">
        <v>0</v>
      </c>
      <c r="J34" s="34" t="s">
        <v>103</v>
      </c>
      <c r="K34" s="51">
        <v>0</v>
      </c>
      <c r="L34" s="51">
        <v>0</v>
      </c>
      <c r="M34" s="2"/>
    </row>
    <row r="35" spans="2:13">
      <c r="B35" s="2"/>
      <c r="C35" s="37" t="s">
        <v>145</v>
      </c>
      <c r="D35" s="38"/>
      <c r="E35" s="39">
        <v>0</v>
      </c>
      <c r="F35" s="39">
        <v>0</v>
      </c>
      <c r="G35" s="39">
        <v>0</v>
      </c>
      <c r="H35" s="51">
        <v>0</v>
      </c>
      <c r="I35" s="51">
        <v>0</v>
      </c>
      <c r="J35" s="34" t="s">
        <v>103</v>
      </c>
      <c r="K35" s="51">
        <v>0</v>
      </c>
      <c r="L35" s="51">
        <v>0</v>
      </c>
      <c r="M35" s="2"/>
    </row>
    <row r="36" spans="2:13">
      <c r="B36" s="2"/>
      <c r="C36" s="37" t="s">
        <v>146</v>
      </c>
      <c r="D36" s="38"/>
      <c r="E36" s="39">
        <v>0</v>
      </c>
      <c r="F36" s="39">
        <v>0</v>
      </c>
      <c r="G36" s="39">
        <v>0</v>
      </c>
      <c r="H36" s="51">
        <v>0</v>
      </c>
      <c r="I36" s="51">
        <v>0</v>
      </c>
      <c r="J36" s="34" t="s">
        <v>103</v>
      </c>
      <c r="K36" s="51">
        <v>0</v>
      </c>
      <c r="L36" s="51">
        <v>0</v>
      </c>
      <c r="M36" s="2"/>
    </row>
    <row r="37" spans="2:13">
      <c r="B37" s="2"/>
      <c r="C37" s="37" t="s">
        <v>147</v>
      </c>
      <c r="D37" s="38"/>
      <c r="E37" s="39">
        <v>0</v>
      </c>
      <c r="F37" s="39">
        <v>0</v>
      </c>
      <c r="G37" s="39">
        <v>0</v>
      </c>
      <c r="H37" s="51">
        <v>0</v>
      </c>
      <c r="I37" s="51">
        <v>0</v>
      </c>
      <c r="J37" s="34" t="s">
        <v>103</v>
      </c>
      <c r="K37" s="51">
        <v>0</v>
      </c>
      <c r="L37" s="51">
        <v>0</v>
      </c>
      <c r="M37" s="2"/>
    </row>
    <row r="38" spans="2:13">
      <c r="B38" s="2"/>
      <c r="C38" s="37" t="s">
        <v>148</v>
      </c>
      <c r="D38" s="38"/>
      <c r="E38" s="39">
        <v>0</v>
      </c>
      <c r="F38" s="39">
        <v>0</v>
      </c>
      <c r="G38" s="39">
        <v>0</v>
      </c>
      <c r="H38" s="51">
        <v>0</v>
      </c>
      <c r="I38" s="51">
        <v>0</v>
      </c>
      <c r="J38" s="34" t="s">
        <v>103</v>
      </c>
      <c r="K38" s="51">
        <v>0</v>
      </c>
      <c r="L38" s="51">
        <v>0</v>
      </c>
      <c r="M38" s="2"/>
    </row>
    <row r="39" spans="2:13">
      <c r="B39" s="2"/>
      <c r="C39" s="37" t="s">
        <v>149</v>
      </c>
      <c r="D39" s="38"/>
      <c r="E39" s="39">
        <v>0</v>
      </c>
      <c r="F39" s="39">
        <v>0</v>
      </c>
      <c r="G39" s="39">
        <v>0</v>
      </c>
      <c r="H39" s="51">
        <v>0</v>
      </c>
      <c r="I39" s="51">
        <v>0</v>
      </c>
      <c r="J39" s="34" t="s">
        <v>103</v>
      </c>
      <c r="K39" s="51">
        <v>0</v>
      </c>
      <c r="L39" s="51">
        <v>0</v>
      </c>
      <c r="M39" s="2"/>
    </row>
    <row r="40" spans="2:13">
      <c r="B40" s="2"/>
      <c r="C40" s="37" t="s">
        <v>150</v>
      </c>
      <c r="D40" s="38"/>
      <c r="E40" s="39">
        <v>0</v>
      </c>
      <c r="F40" s="39">
        <v>0</v>
      </c>
      <c r="G40" s="39">
        <v>0</v>
      </c>
      <c r="H40" s="51">
        <v>0</v>
      </c>
      <c r="I40" s="51">
        <v>0</v>
      </c>
      <c r="J40" s="34" t="s">
        <v>103</v>
      </c>
      <c r="K40" s="51">
        <v>0</v>
      </c>
      <c r="L40" s="51">
        <v>0</v>
      </c>
      <c r="M40" s="2"/>
    </row>
    <row r="41" spans="2:13">
      <c r="B41" s="2"/>
      <c r="C41" s="37" t="s">
        <v>151</v>
      </c>
      <c r="D41" s="38"/>
      <c r="E41" s="39">
        <v>0</v>
      </c>
      <c r="F41" s="39">
        <v>0</v>
      </c>
      <c r="G41" s="39">
        <v>0</v>
      </c>
      <c r="H41" s="51">
        <v>0</v>
      </c>
      <c r="I41" s="51">
        <v>0</v>
      </c>
      <c r="J41" s="34" t="s">
        <v>103</v>
      </c>
      <c r="K41" s="51">
        <v>0</v>
      </c>
      <c r="L41" s="51">
        <v>0</v>
      </c>
      <c r="M41" s="2"/>
    </row>
    <row r="42" spans="2:13">
      <c r="B42" s="2"/>
      <c r="C42" s="37" t="s">
        <v>152</v>
      </c>
      <c r="D42" s="38"/>
      <c r="E42" s="39">
        <v>0</v>
      </c>
      <c r="F42" s="39">
        <v>0</v>
      </c>
      <c r="G42" s="39">
        <v>0</v>
      </c>
      <c r="H42" s="51">
        <v>0</v>
      </c>
      <c r="I42" s="51">
        <v>0</v>
      </c>
      <c r="J42" s="34" t="s">
        <v>103</v>
      </c>
      <c r="K42" s="51">
        <v>0</v>
      </c>
      <c r="L42" s="51">
        <v>0</v>
      </c>
      <c r="M42" s="2"/>
    </row>
    <row r="43" spans="2:13">
      <c r="B43" s="2"/>
      <c r="C43" s="37" t="s">
        <v>153</v>
      </c>
      <c r="D43" s="38"/>
      <c r="E43" s="39">
        <v>0</v>
      </c>
      <c r="F43" s="39">
        <v>0</v>
      </c>
      <c r="G43" s="39">
        <v>0</v>
      </c>
      <c r="H43" s="51">
        <v>0</v>
      </c>
      <c r="I43" s="51">
        <v>0</v>
      </c>
      <c r="J43" s="34" t="s">
        <v>103</v>
      </c>
      <c r="K43" s="51">
        <v>0</v>
      </c>
      <c r="L43" s="51">
        <v>0</v>
      </c>
      <c r="M43" s="2"/>
    </row>
    <row r="44" spans="2:13">
      <c r="B44" s="2"/>
      <c r="C44" s="37" t="s">
        <v>154</v>
      </c>
      <c r="D44" s="38"/>
      <c r="E44" s="39">
        <v>0</v>
      </c>
      <c r="F44" s="39">
        <v>0</v>
      </c>
      <c r="G44" s="39">
        <v>0</v>
      </c>
      <c r="H44" s="51">
        <v>0</v>
      </c>
      <c r="I44" s="51">
        <v>0</v>
      </c>
      <c r="J44" s="34" t="s">
        <v>103</v>
      </c>
      <c r="K44" s="51">
        <v>0</v>
      </c>
      <c r="L44" s="51">
        <v>0</v>
      </c>
      <c r="M44" s="2"/>
    </row>
    <row r="45" spans="2:13">
      <c r="B45" s="2"/>
      <c r="C45" s="37" t="s">
        <v>155</v>
      </c>
      <c r="D45" s="38"/>
      <c r="E45" s="39">
        <v>0</v>
      </c>
      <c r="F45" s="39">
        <v>0</v>
      </c>
      <c r="G45" s="39">
        <v>0</v>
      </c>
      <c r="H45" s="51">
        <v>0</v>
      </c>
      <c r="I45" s="51">
        <v>0</v>
      </c>
      <c r="J45" s="34" t="s">
        <v>103</v>
      </c>
      <c r="K45" s="51">
        <v>0</v>
      </c>
      <c r="L45" s="51">
        <v>0</v>
      </c>
      <c r="M45" s="2"/>
    </row>
    <row r="46" spans="2:13">
      <c r="B46" s="2"/>
      <c r="C46" s="37" t="s">
        <v>156</v>
      </c>
      <c r="D46" s="38"/>
      <c r="E46" s="39">
        <v>0</v>
      </c>
      <c r="F46" s="39">
        <v>0</v>
      </c>
      <c r="G46" s="39">
        <v>0</v>
      </c>
      <c r="H46" s="51">
        <v>0</v>
      </c>
      <c r="I46" s="51">
        <v>0</v>
      </c>
      <c r="J46" s="34" t="s">
        <v>103</v>
      </c>
      <c r="K46" s="51">
        <v>0</v>
      </c>
      <c r="L46" s="51">
        <v>0</v>
      </c>
      <c r="M46" s="2"/>
    </row>
    <row r="47" spans="2:13">
      <c r="B47" s="2"/>
      <c r="C47" s="37" t="s">
        <v>157</v>
      </c>
      <c r="D47" s="38"/>
      <c r="E47" s="39">
        <v>0</v>
      </c>
      <c r="F47" s="39">
        <v>0</v>
      </c>
      <c r="G47" s="39">
        <v>0</v>
      </c>
      <c r="H47" s="51">
        <v>0</v>
      </c>
      <c r="I47" s="51">
        <v>0</v>
      </c>
      <c r="J47" s="34" t="s">
        <v>103</v>
      </c>
      <c r="K47" s="51">
        <v>0</v>
      </c>
      <c r="L47" s="51">
        <v>0</v>
      </c>
      <c r="M47" s="2"/>
    </row>
    <row r="48" spans="2:13">
      <c r="B48" s="2"/>
      <c r="C48" s="37" t="s">
        <v>158</v>
      </c>
      <c r="D48" s="38"/>
      <c r="E48" s="39">
        <v>0</v>
      </c>
      <c r="F48" s="39">
        <v>0</v>
      </c>
      <c r="G48" s="39">
        <v>0</v>
      </c>
      <c r="H48" s="51">
        <v>0</v>
      </c>
      <c r="I48" s="51">
        <v>0</v>
      </c>
      <c r="J48" s="34" t="s">
        <v>103</v>
      </c>
      <c r="K48" s="51">
        <v>0</v>
      </c>
      <c r="L48" s="51">
        <v>0</v>
      </c>
      <c r="M48" s="2"/>
    </row>
    <row r="49" spans="2:13">
      <c r="B49" s="2"/>
      <c r="C49" s="37" t="s">
        <v>159</v>
      </c>
      <c r="D49" s="38"/>
      <c r="E49" s="39">
        <v>0</v>
      </c>
      <c r="F49" s="39">
        <v>0</v>
      </c>
      <c r="G49" s="39">
        <v>0</v>
      </c>
      <c r="H49" s="51">
        <v>0</v>
      </c>
      <c r="I49" s="51">
        <v>0</v>
      </c>
      <c r="J49" s="34" t="s">
        <v>103</v>
      </c>
      <c r="K49" s="51">
        <v>0</v>
      </c>
      <c r="L49" s="51">
        <v>0</v>
      </c>
      <c r="M49" s="2"/>
    </row>
    <row r="50" spans="2:13">
      <c r="B50" s="2"/>
      <c r="C50" s="37" t="s">
        <v>160</v>
      </c>
      <c r="D50" s="38"/>
      <c r="E50" s="39">
        <v>0</v>
      </c>
      <c r="F50" s="39">
        <v>0</v>
      </c>
      <c r="G50" s="39">
        <v>0</v>
      </c>
      <c r="H50" s="51">
        <v>0</v>
      </c>
      <c r="I50" s="51">
        <v>0</v>
      </c>
      <c r="J50" s="34" t="s">
        <v>103</v>
      </c>
      <c r="K50" s="51">
        <v>0</v>
      </c>
      <c r="L50" s="51">
        <v>0</v>
      </c>
      <c r="M50" s="2"/>
    </row>
    <row r="51" spans="2:13">
      <c r="B51" s="2"/>
      <c r="C51" s="37" t="s">
        <v>161</v>
      </c>
      <c r="D51" s="38"/>
      <c r="E51" s="39">
        <v>0</v>
      </c>
      <c r="F51" s="39">
        <v>0</v>
      </c>
      <c r="G51" s="39">
        <v>0</v>
      </c>
      <c r="H51" s="51">
        <v>0</v>
      </c>
      <c r="I51" s="51">
        <v>0</v>
      </c>
      <c r="J51" s="34" t="s">
        <v>103</v>
      </c>
      <c r="K51" s="51">
        <v>0</v>
      </c>
      <c r="L51" s="51">
        <v>0</v>
      </c>
      <c r="M51" s="2"/>
    </row>
    <row r="52" spans="2:13">
      <c r="B52" s="2"/>
      <c r="C52" s="37" t="s">
        <v>162</v>
      </c>
      <c r="D52" s="38"/>
      <c r="E52" s="39">
        <v>0</v>
      </c>
      <c r="F52" s="39">
        <v>0</v>
      </c>
      <c r="G52" s="39">
        <v>0</v>
      </c>
      <c r="H52" s="51">
        <v>0</v>
      </c>
      <c r="I52" s="51">
        <v>0</v>
      </c>
      <c r="J52" s="34" t="s">
        <v>103</v>
      </c>
      <c r="K52" s="51">
        <v>0</v>
      </c>
      <c r="L52" s="51">
        <v>0</v>
      </c>
      <c r="M52" s="2"/>
    </row>
    <row r="53" spans="2:13">
      <c r="B53" s="2"/>
      <c r="C53" s="37" t="s">
        <v>163</v>
      </c>
      <c r="D53" s="38"/>
      <c r="E53" s="39">
        <v>0</v>
      </c>
      <c r="F53" s="39">
        <v>0</v>
      </c>
      <c r="G53" s="39">
        <v>0</v>
      </c>
      <c r="H53" s="51">
        <v>0</v>
      </c>
      <c r="I53" s="51">
        <v>0</v>
      </c>
      <c r="J53" s="34" t="s">
        <v>103</v>
      </c>
      <c r="K53" s="51">
        <v>0</v>
      </c>
      <c r="L53" s="51">
        <v>0</v>
      </c>
      <c r="M53" s="2"/>
    </row>
    <row r="54" spans="2:13">
      <c r="B54" s="2"/>
      <c r="C54" s="37" t="s">
        <v>164</v>
      </c>
      <c r="D54" s="38"/>
      <c r="E54" s="39">
        <v>0</v>
      </c>
      <c r="F54" s="39">
        <v>0</v>
      </c>
      <c r="G54" s="39">
        <v>0</v>
      </c>
      <c r="H54" s="51">
        <v>0</v>
      </c>
      <c r="I54" s="51">
        <v>0</v>
      </c>
      <c r="J54" s="34" t="s">
        <v>103</v>
      </c>
      <c r="K54" s="51">
        <v>0</v>
      </c>
      <c r="L54" s="51">
        <v>0</v>
      </c>
      <c r="M54" s="2"/>
    </row>
    <row r="55" spans="2:13">
      <c r="B55" s="2"/>
      <c r="C55" s="37" t="s">
        <v>165</v>
      </c>
      <c r="D55" s="38"/>
      <c r="E55" s="39">
        <v>0</v>
      </c>
      <c r="F55" s="39">
        <v>0</v>
      </c>
      <c r="G55" s="39">
        <v>0</v>
      </c>
      <c r="H55" s="51">
        <v>0</v>
      </c>
      <c r="I55" s="51">
        <v>0</v>
      </c>
      <c r="J55" s="34" t="s">
        <v>103</v>
      </c>
      <c r="K55" s="51">
        <v>0</v>
      </c>
      <c r="L55" s="51">
        <v>0</v>
      </c>
      <c r="M55" s="2"/>
    </row>
    <row r="56" spans="2:13">
      <c r="B56" s="2"/>
      <c r="C56" s="37" t="s">
        <v>166</v>
      </c>
      <c r="D56" s="38"/>
      <c r="E56" s="39">
        <v>0</v>
      </c>
      <c r="F56" s="39">
        <v>0</v>
      </c>
      <c r="G56" s="39">
        <v>0</v>
      </c>
      <c r="H56" s="51">
        <v>0</v>
      </c>
      <c r="I56" s="51">
        <v>0</v>
      </c>
      <c r="J56" s="34" t="s">
        <v>103</v>
      </c>
      <c r="K56" s="51">
        <v>0</v>
      </c>
      <c r="L56" s="51">
        <v>0</v>
      </c>
      <c r="M56" s="2"/>
    </row>
    <row r="57" spans="2:13">
      <c r="B57" s="2"/>
      <c r="C57" s="37" t="s">
        <v>167</v>
      </c>
      <c r="D57" s="38"/>
      <c r="E57" s="39">
        <v>0</v>
      </c>
      <c r="F57" s="39">
        <v>0</v>
      </c>
      <c r="G57" s="39">
        <v>0</v>
      </c>
      <c r="H57" s="51">
        <v>0</v>
      </c>
      <c r="I57" s="51">
        <v>0</v>
      </c>
      <c r="J57" s="34" t="s">
        <v>103</v>
      </c>
      <c r="K57" s="51">
        <v>0</v>
      </c>
      <c r="L57" s="51">
        <v>0</v>
      </c>
      <c r="M57" s="2"/>
    </row>
    <row r="58" spans="2:13">
      <c r="B58" s="2"/>
      <c r="C58" s="37" t="s">
        <v>168</v>
      </c>
      <c r="D58" s="38"/>
      <c r="E58" s="39">
        <v>0</v>
      </c>
      <c r="F58" s="39">
        <v>0</v>
      </c>
      <c r="G58" s="39">
        <v>0</v>
      </c>
      <c r="H58" s="51">
        <v>0</v>
      </c>
      <c r="I58" s="51">
        <v>0</v>
      </c>
      <c r="J58" s="34" t="s">
        <v>103</v>
      </c>
      <c r="K58" s="51">
        <v>0</v>
      </c>
      <c r="L58" s="51">
        <v>0</v>
      </c>
      <c r="M58" s="2"/>
    </row>
    <row r="59" spans="2:13">
      <c r="B59" s="2"/>
      <c r="C59" s="37" t="s">
        <v>169</v>
      </c>
      <c r="D59" s="38"/>
      <c r="E59" s="39">
        <v>0</v>
      </c>
      <c r="F59" s="39">
        <v>0</v>
      </c>
      <c r="G59" s="39">
        <v>0</v>
      </c>
      <c r="H59" s="51">
        <v>0</v>
      </c>
      <c r="I59" s="51">
        <v>0</v>
      </c>
      <c r="J59" s="34" t="s">
        <v>103</v>
      </c>
      <c r="K59" s="51">
        <v>0</v>
      </c>
      <c r="L59" s="51">
        <v>0</v>
      </c>
      <c r="M59" s="2"/>
    </row>
    <row r="60" spans="2:13">
      <c r="B60" s="2"/>
      <c r="C60" s="37" t="s">
        <v>170</v>
      </c>
      <c r="D60" s="38"/>
      <c r="E60" s="39">
        <v>0</v>
      </c>
      <c r="F60" s="39">
        <v>0</v>
      </c>
      <c r="G60" s="39">
        <v>0</v>
      </c>
      <c r="H60" s="51">
        <v>0</v>
      </c>
      <c r="I60" s="51">
        <v>0</v>
      </c>
      <c r="J60" s="34" t="s">
        <v>103</v>
      </c>
      <c r="K60" s="51">
        <v>0</v>
      </c>
      <c r="L60" s="51">
        <v>0</v>
      </c>
      <c r="M60" s="2"/>
    </row>
    <row r="61" spans="2:13">
      <c r="B61" s="2"/>
      <c r="C61" s="37" t="s">
        <v>171</v>
      </c>
      <c r="D61" s="38"/>
      <c r="E61" s="39">
        <v>0</v>
      </c>
      <c r="F61" s="39">
        <v>0</v>
      </c>
      <c r="G61" s="39">
        <v>0</v>
      </c>
      <c r="H61" s="51">
        <v>0</v>
      </c>
      <c r="I61" s="51">
        <v>0</v>
      </c>
      <c r="J61" s="34" t="s">
        <v>103</v>
      </c>
      <c r="K61" s="51">
        <v>0</v>
      </c>
      <c r="L61" s="51">
        <v>0</v>
      </c>
      <c r="M61" s="2"/>
    </row>
    <row r="62" spans="2:13">
      <c r="B62" s="2"/>
      <c r="C62" s="37" t="s">
        <v>172</v>
      </c>
      <c r="D62" s="38"/>
      <c r="E62" s="39">
        <v>0</v>
      </c>
      <c r="F62" s="39">
        <v>0</v>
      </c>
      <c r="G62" s="39">
        <v>0</v>
      </c>
      <c r="H62" s="51">
        <v>0</v>
      </c>
      <c r="I62" s="51">
        <v>0</v>
      </c>
      <c r="J62" s="34" t="s">
        <v>103</v>
      </c>
      <c r="K62" s="51">
        <v>0</v>
      </c>
      <c r="L62" s="51">
        <v>0</v>
      </c>
      <c r="M62" s="2"/>
    </row>
    <row r="63" spans="2:13">
      <c r="B63" s="2"/>
      <c r="C63" s="37" t="s">
        <v>173</v>
      </c>
      <c r="D63" s="38"/>
      <c r="E63" s="39">
        <v>0</v>
      </c>
      <c r="F63" s="39">
        <v>0</v>
      </c>
      <c r="G63" s="39">
        <v>0</v>
      </c>
      <c r="H63" s="51">
        <v>0</v>
      </c>
      <c r="I63" s="51">
        <v>0</v>
      </c>
      <c r="J63" s="34" t="s">
        <v>103</v>
      </c>
      <c r="K63" s="51">
        <v>0</v>
      </c>
      <c r="L63" s="51">
        <v>0</v>
      </c>
      <c r="M63" s="2"/>
    </row>
    <row r="64" spans="2:13">
      <c r="B64" s="2"/>
      <c r="C64" s="37" t="s">
        <v>174</v>
      </c>
      <c r="D64" s="38"/>
      <c r="E64" s="39">
        <v>0</v>
      </c>
      <c r="F64" s="39">
        <v>0</v>
      </c>
      <c r="G64" s="39">
        <v>0</v>
      </c>
      <c r="H64" s="51">
        <v>0</v>
      </c>
      <c r="I64" s="51">
        <v>0</v>
      </c>
      <c r="J64" s="34" t="s">
        <v>103</v>
      </c>
      <c r="K64" s="51">
        <v>0</v>
      </c>
      <c r="L64" s="51">
        <v>0</v>
      </c>
      <c r="M64" s="2"/>
    </row>
    <row r="65" spans="2:13">
      <c r="B65" s="2"/>
      <c r="C65" s="37" t="s">
        <v>175</v>
      </c>
      <c r="D65" s="38"/>
      <c r="E65" s="39">
        <v>0</v>
      </c>
      <c r="F65" s="39">
        <v>0</v>
      </c>
      <c r="G65" s="39">
        <v>0</v>
      </c>
      <c r="H65" s="51">
        <v>0</v>
      </c>
      <c r="I65" s="51">
        <v>0</v>
      </c>
      <c r="J65" s="34" t="s">
        <v>103</v>
      </c>
      <c r="K65" s="51">
        <v>0</v>
      </c>
      <c r="L65" s="51">
        <v>0</v>
      </c>
      <c r="M65" s="2"/>
    </row>
    <row r="66" spans="2:13">
      <c r="B66" s="2"/>
      <c r="C66" s="37" t="s">
        <v>176</v>
      </c>
      <c r="D66" s="38"/>
      <c r="E66" s="39">
        <v>0</v>
      </c>
      <c r="F66" s="39">
        <v>0</v>
      </c>
      <c r="G66" s="39">
        <v>0</v>
      </c>
      <c r="H66" s="51">
        <v>0</v>
      </c>
      <c r="I66" s="51">
        <v>0</v>
      </c>
      <c r="J66" s="34" t="s">
        <v>103</v>
      </c>
      <c r="K66" s="51">
        <v>0</v>
      </c>
      <c r="L66" s="51">
        <v>0</v>
      </c>
      <c r="M66" s="2"/>
    </row>
    <row r="67" spans="2:13">
      <c r="B67" s="2"/>
      <c r="C67" s="37" t="s">
        <v>177</v>
      </c>
      <c r="D67" s="38"/>
      <c r="E67" s="39">
        <v>0</v>
      </c>
      <c r="F67" s="39">
        <v>0</v>
      </c>
      <c r="G67" s="39">
        <v>0</v>
      </c>
      <c r="H67" s="51">
        <v>0</v>
      </c>
      <c r="I67" s="51">
        <v>0</v>
      </c>
      <c r="J67" s="34" t="s">
        <v>103</v>
      </c>
      <c r="K67" s="51">
        <v>0</v>
      </c>
      <c r="L67" s="51">
        <v>0</v>
      </c>
      <c r="M67" s="2"/>
    </row>
    <row r="68" spans="2:13">
      <c r="B68" s="2"/>
      <c r="C68" s="37" t="s">
        <v>178</v>
      </c>
      <c r="D68" s="38"/>
      <c r="E68" s="39">
        <v>0</v>
      </c>
      <c r="F68" s="39">
        <v>0</v>
      </c>
      <c r="G68" s="39">
        <v>0</v>
      </c>
      <c r="H68" s="51">
        <v>0</v>
      </c>
      <c r="I68" s="51">
        <v>0</v>
      </c>
      <c r="J68" s="34" t="s">
        <v>103</v>
      </c>
      <c r="K68" s="51">
        <v>0</v>
      </c>
      <c r="L68" s="51">
        <v>0</v>
      </c>
      <c r="M68" s="2"/>
    </row>
    <row r="69" spans="2:13">
      <c r="B69" s="2"/>
      <c r="C69" s="37" t="s">
        <v>179</v>
      </c>
      <c r="D69" s="38"/>
      <c r="E69" s="39">
        <v>0</v>
      </c>
      <c r="F69" s="39">
        <v>0</v>
      </c>
      <c r="G69" s="39">
        <v>0</v>
      </c>
      <c r="H69" s="51">
        <v>0</v>
      </c>
      <c r="I69" s="51">
        <v>0</v>
      </c>
      <c r="J69" s="34" t="s">
        <v>103</v>
      </c>
      <c r="K69" s="51">
        <v>0</v>
      </c>
      <c r="L69" s="51">
        <v>0</v>
      </c>
      <c r="M69" s="2"/>
    </row>
    <row r="70" spans="2:13">
      <c r="B70" s="2"/>
      <c r="C70" s="37" t="s">
        <v>180</v>
      </c>
      <c r="D70" s="38"/>
      <c r="E70" s="39">
        <v>0</v>
      </c>
      <c r="F70" s="39">
        <v>0</v>
      </c>
      <c r="G70" s="39">
        <v>0</v>
      </c>
      <c r="H70" s="51">
        <v>0</v>
      </c>
      <c r="I70" s="51">
        <v>0</v>
      </c>
      <c r="J70" s="34" t="s">
        <v>103</v>
      </c>
      <c r="K70" s="51">
        <v>0</v>
      </c>
      <c r="L70" s="51">
        <v>0</v>
      </c>
      <c r="M70" s="2"/>
    </row>
    <row r="71" spans="2:13">
      <c r="B71" s="2"/>
      <c r="C71" s="37" t="s">
        <v>181</v>
      </c>
      <c r="D71" s="38"/>
      <c r="E71" s="39">
        <v>0</v>
      </c>
      <c r="F71" s="39">
        <v>0</v>
      </c>
      <c r="G71" s="39">
        <v>0</v>
      </c>
      <c r="H71" s="51">
        <v>0</v>
      </c>
      <c r="I71" s="51">
        <v>0</v>
      </c>
      <c r="J71" s="34" t="s">
        <v>103</v>
      </c>
      <c r="K71" s="51">
        <v>0</v>
      </c>
      <c r="L71" s="51">
        <v>0</v>
      </c>
      <c r="M71" s="2"/>
    </row>
    <row r="72" spans="2:13">
      <c r="B72" s="2"/>
      <c r="C72" s="37" t="s">
        <v>182</v>
      </c>
      <c r="D72" s="38"/>
      <c r="E72" s="39">
        <v>0</v>
      </c>
      <c r="F72" s="39">
        <v>0</v>
      </c>
      <c r="G72" s="39">
        <v>0</v>
      </c>
      <c r="H72" s="51">
        <v>0</v>
      </c>
      <c r="I72" s="51">
        <v>0</v>
      </c>
      <c r="J72" s="34" t="s">
        <v>103</v>
      </c>
      <c r="K72" s="51">
        <v>0</v>
      </c>
      <c r="L72" s="51">
        <v>0</v>
      </c>
      <c r="M72" s="2"/>
    </row>
    <row r="73" spans="2:13">
      <c r="B73" s="2"/>
      <c r="C73" s="37" t="s">
        <v>183</v>
      </c>
      <c r="D73" s="38"/>
      <c r="E73" s="39">
        <v>0</v>
      </c>
      <c r="F73" s="39">
        <v>0</v>
      </c>
      <c r="G73" s="39">
        <v>0</v>
      </c>
      <c r="H73" s="51">
        <v>0</v>
      </c>
      <c r="I73" s="51">
        <v>0</v>
      </c>
      <c r="J73" s="34" t="s">
        <v>103</v>
      </c>
      <c r="K73" s="51">
        <v>0</v>
      </c>
      <c r="L73" s="51">
        <v>0</v>
      </c>
      <c r="M73" s="2"/>
    </row>
    <row r="74" spans="2:13">
      <c r="B74" s="2"/>
      <c r="C74" s="37" t="s">
        <v>184</v>
      </c>
      <c r="D74" s="38"/>
      <c r="E74" s="39">
        <v>0</v>
      </c>
      <c r="F74" s="39">
        <v>0</v>
      </c>
      <c r="G74" s="39">
        <v>0</v>
      </c>
      <c r="H74" s="51">
        <v>0</v>
      </c>
      <c r="I74" s="51">
        <v>0</v>
      </c>
      <c r="J74" s="34" t="s">
        <v>103</v>
      </c>
      <c r="K74" s="51">
        <v>0</v>
      </c>
      <c r="L74" s="51">
        <v>0</v>
      </c>
      <c r="M74" s="2"/>
    </row>
    <row r="75" spans="2:13">
      <c r="B75" s="2"/>
      <c r="C75" s="37" t="s">
        <v>185</v>
      </c>
      <c r="D75" s="38"/>
      <c r="E75" s="39">
        <v>0</v>
      </c>
      <c r="F75" s="39">
        <v>0</v>
      </c>
      <c r="G75" s="39">
        <v>0</v>
      </c>
      <c r="H75" s="51">
        <v>0</v>
      </c>
      <c r="I75" s="51">
        <v>0</v>
      </c>
      <c r="J75" s="34" t="s">
        <v>103</v>
      </c>
      <c r="K75" s="51">
        <v>0</v>
      </c>
      <c r="L75" s="51">
        <v>0</v>
      </c>
      <c r="M75" s="2"/>
    </row>
    <row r="76" spans="2:13">
      <c r="B76" s="2"/>
      <c r="C76" s="37" t="s">
        <v>186</v>
      </c>
      <c r="D76" s="38"/>
      <c r="E76" s="39">
        <v>0</v>
      </c>
      <c r="F76" s="39">
        <v>0</v>
      </c>
      <c r="G76" s="39">
        <v>0</v>
      </c>
      <c r="H76" s="51">
        <v>0</v>
      </c>
      <c r="I76" s="51">
        <v>0</v>
      </c>
      <c r="J76" s="34" t="s">
        <v>103</v>
      </c>
      <c r="K76" s="51">
        <v>0</v>
      </c>
      <c r="L76" s="51">
        <v>0</v>
      </c>
      <c r="M76" s="2"/>
    </row>
    <row r="77" spans="2:13">
      <c r="B77" s="2"/>
      <c r="C77" s="37" t="s">
        <v>187</v>
      </c>
      <c r="D77" s="38"/>
      <c r="E77" s="39">
        <v>0</v>
      </c>
      <c r="F77" s="39">
        <v>0</v>
      </c>
      <c r="G77" s="39">
        <v>0</v>
      </c>
      <c r="H77" s="51">
        <v>0</v>
      </c>
      <c r="I77" s="51">
        <v>0</v>
      </c>
      <c r="J77" s="34" t="s">
        <v>103</v>
      </c>
      <c r="K77" s="51">
        <v>0</v>
      </c>
      <c r="L77" s="51">
        <v>0</v>
      </c>
      <c r="M77" s="2"/>
    </row>
    <row r="78" spans="2:13">
      <c r="B78" s="2"/>
      <c r="C78" s="37" t="s">
        <v>188</v>
      </c>
      <c r="D78" s="38"/>
      <c r="E78" s="39">
        <v>0</v>
      </c>
      <c r="F78" s="39">
        <v>0</v>
      </c>
      <c r="G78" s="39">
        <v>0</v>
      </c>
      <c r="H78" s="51">
        <v>0</v>
      </c>
      <c r="I78" s="51">
        <v>0</v>
      </c>
      <c r="J78" s="34" t="s">
        <v>103</v>
      </c>
      <c r="K78" s="51">
        <v>0</v>
      </c>
      <c r="L78" s="51">
        <v>0</v>
      </c>
      <c r="M78" s="2"/>
    </row>
    <row r="79" spans="2:13">
      <c r="B79" s="2"/>
      <c r="C79" s="37" t="s">
        <v>189</v>
      </c>
      <c r="D79" s="38"/>
      <c r="E79" s="39">
        <v>0</v>
      </c>
      <c r="F79" s="39">
        <v>0</v>
      </c>
      <c r="G79" s="39">
        <v>0</v>
      </c>
      <c r="H79" s="51">
        <v>0</v>
      </c>
      <c r="I79" s="51">
        <v>0</v>
      </c>
      <c r="J79" s="34" t="s">
        <v>103</v>
      </c>
      <c r="K79" s="51">
        <v>0</v>
      </c>
      <c r="L79" s="51">
        <v>0</v>
      </c>
      <c r="M79" s="2"/>
    </row>
    <row r="80" spans="2:13">
      <c r="B80" s="2"/>
      <c r="C80" s="37" t="s">
        <v>190</v>
      </c>
      <c r="D80" s="38"/>
      <c r="E80" s="39">
        <v>0</v>
      </c>
      <c r="F80" s="39">
        <v>0</v>
      </c>
      <c r="G80" s="39">
        <v>0</v>
      </c>
      <c r="H80" s="51">
        <v>0</v>
      </c>
      <c r="I80" s="51">
        <v>0</v>
      </c>
      <c r="J80" s="34" t="s">
        <v>103</v>
      </c>
      <c r="K80" s="51">
        <v>0</v>
      </c>
      <c r="L80" s="51">
        <v>0</v>
      </c>
      <c r="M80" s="2"/>
    </row>
    <row r="81" spans="2:13">
      <c r="B81" s="2"/>
      <c r="C81" s="37" t="s">
        <v>191</v>
      </c>
      <c r="D81" s="38"/>
      <c r="E81" s="39">
        <v>0</v>
      </c>
      <c r="F81" s="39">
        <v>0</v>
      </c>
      <c r="G81" s="39">
        <v>0</v>
      </c>
      <c r="H81" s="51">
        <v>0</v>
      </c>
      <c r="I81" s="51">
        <v>0</v>
      </c>
      <c r="J81" s="34" t="s">
        <v>103</v>
      </c>
      <c r="K81" s="51">
        <v>0</v>
      </c>
      <c r="L81" s="51">
        <v>0</v>
      </c>
      <c r="M81" s="2"/>
    </row>
    <row r="82" spans="2:13">
      <c r="B82" s="2"/>
      <c r="C82" s="37" t="s">
        <v>192</v>
      </c>
      <c r="D82" s="38"/>
      <c r="E82" s="39">
        <v>0</v>
      </c>
      <c r="F82" s="39">
        <v>0</v>
      </c>
      <c r="G82" s="39">
        <v>0</v>
      </c>
      <c r="H82" s="51">
        <v>0</v>
      </c>
      <c r="I82" s="51">
        <v>0</v>
      </c>
      <c r="J82" s="34" t="s">
        <v>103</v>
      </c>
      <c r="K82" s="51">
        <v>0</v>
      </c>
      <c r="L82" s="51">
        <v>0</v>
      </c>
      <c r="M82" s="2"/>
    </row>
    <row r="83" spans="2:13">
      <c r="B83" s="2"/>
      <c r="C83" s="37" t="s">
        <v>193</v>
      </c>
      <c r="D83" s="38"/>
      <c r="E83" s="39">
        <v>0</v>
      </c>
      <c r="F83" s="39">
        <v>0</v>
      </c>
      <c r="G83" s="39">
        <v>0</v>
      </c>
      <c r="H83" s="51">
        <v>0</v>
      </c>
      <c r="I83" s="51">
        <v>0</v>
      </c>
      <c r="J83" s="34" t="s">
        <v>103</v>
      </c>
      <c r="K83" s="51">
        <v>0</v>
      </c>
      <c r="L83" s="51">
        <v>0</v>
      </c>
      <c r="M83" s="2"/>
    </row>
    <row r="84" spans="2:13">
      <c r="B84" s="2"/>
      <c r="C84" s="37" t="s">
        <v>194</v>
      </c>
      <c r="D84" s="38"/>
      <c r="E84" s="39">
        <v>0</v>
      </c>
      <c r="F84" s="39">
        <v>0</v>
      </c>
      <c r="G84" s="39">
        <v>0</v>
      </c>
      <c r="H84" s="51">
        <v>0</v>
      </c>
      <c r="I84" s="51">
        <v>0</v>
      </c>
      <c r="J84" s="34" t="s">
        <v>103</v>
      </c>
      <c r="K84" s="51">
        <v>0</v>
      </c>
      <c r="L84" s="51">
        <v>0</v>
      </c>
      <c r="M84" s="2"/>
    </row>
    <row r="85" spans="2:13">
      <c r="B85" s="2"/>
      <c r="C85" s="37" t="s">
        <v>195</v>
      </c>
      <c r="D85" s="38"/>
      <c r="E85" s="39">
        <v>0</v>
      </c>
      <c r="F85" s="39">
        <v>0</v>
      </c>
      <c r="G85" s="39">
        <v>0</v>
      </c>
      <c r="H85" s="51">
        <v>0</v>
      </c>
      <c r="I85" s="51">
        <v>0</v>
      </c>
      <c r="J85" s="34" t="s">
        <v>103</v>
      </c>
      <c r="K85" s="51">
        <v>0</v>
      </c>
      <c r="L85" s="51">
        <v>0</v>
      </c>
      <c r="M85" s="2"/>
    </row>
    <row r="86" spans="2:13">
      <c r="B86" s="2"/>
      <c r="C86" s="37" t="s">
        <v>196</v>
      </c>
      <c r="D86" s="38"/>
      <c r="E86" s="39">
        <v>0</v>
      </c>
      <c r="F86" s="39">
        <v>0</v>
      </c>
      <c r="G86" s="39">
        <v>0</v>
      </c>
      <c r="H86" s="51">
        <v>0</v>
      </c>
      <c r="I86" s="51">
        <v>0</v>
      </c>
      <c r="J86" s="34" t="s">
        <v>103</v>
      </c>
      <c r="K86" s="51">
        <v>0</v>
      </c>
      <c r="L86" s="51">
        <v>0</v>
      </c>
      <c r="M86" s="2"/>
    </row>
    <row r="87" spans="2:13">
      <c r="B87" s="2"/>
      <c r="C87" s="37" t="s">
        <v>197</v>
      </c>
      <c r="D87" s="38"/>
      <c r="E87" s="39">
        <v>0</v>
      </c>
      <c r="F87" s="39">
        <v>0</v>
      </c>
      <c r="G87" s="39">
        <v>0</v>
      </c>
      <c r="H87" s="51">
        <v>0</v>
      </c>
      <c r="I87" s="51">
        <v>0</v>
      </c>
      <c r="J87" s="34" t="s">
        <v>103</v>
      </c>
      <c r="K87" s="51">
        <v>0</v>
      </c>
      <c r="L87" s="51">
        <v>0</v>
      </c>
      <c r="M87" s="2"/>
    </row>
    <row r="88" spans="2:13">
      <c r="B88" s="2"/>
      <c r="C88" s="37" t="s">
        <v>198</v>
      </c>
      <c r="D88" s="38"/>
      <c r="E88" s="39">
        <v>0</v>
      </c>
      <c r="F88" s="39">
        <v>0</v>
      </c>
      <c r="G88" s="39">
        <v>0</v>
      </c>
      <c r="H88" s="51">
        <v>0</v>
      </c>
      <c r="I88" s="51">
        <v>0</v>
      </c>
      <c r="J88" s="34" t="s">
        <v>103</v>
      </c>
      <c r="K88" s="51">
        <v>0</v>
      </c>
      <c r="L88" s="51">
        <v>0</v>
      </c>
      <c r="M88" s="2"/>
    </row>
    <row r="89" spans="2:13">
      <c r="B89" s="2"/>
      <c r="C89" s="37" t="s">
        <v>199</v>
      </c>
      <c r="D89" s="38"/>
      <c r="E89" s="39">
        <v>0</v>
      </c>
      <c r="F89" s="39">
        <v>0</v>
      </c>
      <c r="G89" s="39">
        <v>0</v>
      </c>
      <c r="H89" s="51">
        <v>0</v>
      </c>
      <c r="I89" s="51">
        <v>0</v>
      </c>
      <c r="J89" s="34" t="s">
        <v>103</v>
      </c>
      <c r="K89" s="51">
        <v>0</v>
      </c>
      <c r="L89" s="51">
        <v>0</v>
      </c>
      <c r="M89" s="2"/>
    </row>
    <row r="90" spans="2:13">
      <c r="B90" s="2"/>
      <c r="C90" s="37" t="s">
        <v>200</v>
      </c>
      <c r="D90" s="38"/>
      <c r="E90" s="39">
        <v>0</v>
      </c>
      <c r="F90" s="39">
        <v>0</v>
      </c>
      <c r="G90" s="39">
        <v>0</v>
      </c>
      <c r="H90" s="51">
        <v>0</v>
      </c>
      <c r="I90" s="51">
        <v>0</v>
      </c>
      <c r="J90" s="34" t="s">
        <v>103</v>
      </c>
      <c r="K90" s="51">
        <v>0</v>
      </c>
      <c r="L90" s="51">
        <v>0</v>
      </c>
      <c r="M90" s="2"/>
    </row>
    <row r="91" spans="2:13">
      <c r="B91" s="2"/>
      <c r="C91" s="37" t="s">
        <v>201</v>
      </c>
      <c r="D91" s="38"/>
      <c r="E91" s="39">
        <v>0</v>
      </c>
      <c r="F91" s="39">
        <v>0</v>
      </c>
      <c r="G91" s="39">
        <v>0</v>
      </c>
      <c r="H91" s="51">
        <v>0</v>
      </c>
      <c r="I91" s="51">
        <v>0</v>
      </c>
      <c r="J91" s="34" t="s">
        <v>103</v>
      </c>
      <c r="K91" s="51">
        <v>0</v>
      </c>
      <c r="L91" s="51">
        <v>0</v>
      </c>
      <c r="M91" s="2"/>
    </row>
    <row r="92" spans="2:13">
      <c r="B92" s="2"/>
      <c r="C92" s="37" t="s">
        <v>202</v>
      </c>
      <c r="D92" s="38"/>
      <c r="E92" s="39">
        <v>0</v>
      </c>
      <c r="F92" s="39">
        <v>0</v>
      </c>
      <c r="G92" s="39">
        <v>0</v>
      </c>
      <c r="H92" s="51">
        <v>0</v>
      </c>
      <c r="I92" s="51">
        <v>0</v>
      </c>
      <c r="J92" s="34" t="s">
        <v>103</v>
      </c>
      <c r="K92" s="51">
        <v>0</v>
      </c>
      <c r="L92" s="51">
        <v>0</v>
      </c>
      <c r="M92" s="2"/>
    </row>
    <row r="93" spans="2:13">
      <c r="B93" s="2"/>
      <c r="C93" s="37" t="s">
        <v>203</v>
      </c>
      <c r="D93" s="38"/>
      <c r="E93" s="39">
        <v>0</v>
      </c>
      <c r="F93" s="39">
        <v>0</v>
      </c>
      <c r="G93" s="39">
        <v>0</v>
      </c>
      <c r="H93" s="51">
        <v>0</v>
      </c>
      <c r="I93" s="51">
        <v>0</v>
      </c>
      <c r="J93" s="34" t="s">
        <v>103</v>
      </c>
      <c r="K93" s="51">
        <v>0</v>
      </c>
      <c r="L93" s="51">
        <v>0</v>
      </c>
      <c r="M93" s="2"/>
    </row>
    <row r="94" spans="2:13">
      <c r="B94" s="2"/>
      <c r="C94" s="37" t="s">
        <v>204</v>
      </c>
      <c r="D94" s="38"/>
      <c r="E94" s="39">
        <v>0</v>
      </c>
      <c r="F94" s="39">
        <v>0</v>
      </c>
      <c r="G94" s="39">
        <v>0</v>
      </c>
      <c r="H94" s="51">
        <v>0</v>
      </c>
      <c r="I94" s="51">
        <v>0</v>
      </c>
      <c r="J94" s="34" t="s">
        <v>103</v>
      </c>
      <c r="K94" s="51">
        <v>0</v>
      </c>
      <c r="L94" s="51">
        <v>0</v>
      </c>
      <c r="M94" s="2"/>
    </row>
    <row r="95" spans="2:13">
      <c r="B95" s="2"/>
      <c r="C95" s="37" t="s">
        <v>205</v>
      </c>
      <c r="D95" s="38"/>
      <c r="E95" s="39">
        <v>0</v>
      </c>
      <c r="F95" s="39">
        <v>0</v>
      </c>
      <c r="G95" s="39">
        <v>0</v>
      </c>
      <c r="H95" s="51">
        <v>0</v>
      </c>
      <c r="I95" s="51">
        <v>0</v>
      </c>
      <c r="J95" s="34" t="s">
        <v>103</v>
      </c>
      <c r="K95" s="51">
        <v>0</v>
      </c>
      <c r="L95" s="51">
        <v>0</v>
      </c>
      <c r="M95" s="2"/>
    </row>
    <row r="96" spans="2:13">
      <c r="B96" s="2"/>
      <c r="C96" s="37" t="s">
        <v>206</v>
      </c>
      <c r="D96" s="38"/>
      <c r="E96" s="39">
        <v>0</v>
      </c>
      <c r="F96" s="39">
        <v>0</v>
      </c>
      <c r="G96" s="39">
        <v>0</v>
      </c>
      <c r="H96" s="51">
        <v>0</v>
      </c>
      <c r="I96" s="51">
        <v>0</v>
      </c>
      <c r="J96" s="34" t="s">
        <v>103</v>
      </c>
      <c r="K96" s="51">
        <v>0</v>
      </c>
      <c r="L96" s="51">
        <v>0</v>
      </c>
      <c r="M96" s="2"/>
    </row>
    <row r="97" spans="2:13">
      <c r="B97" s="2"/>
      <c r="C97" s="37" t="s">
        <v>207</v>
      </c>
      <c r="D97" s="38"/>
      <c r="E97" s="39">
        <v>0</v>
      </c>
      <c r="F97" s="39">
        <v>0</v>
      </c>
      <c r="G97" s="39">
        <v>0</v>
      </c>
      <c r="H97" s="51">
        <v>0</v>
      </c>
      <c r="I97" s="51">
        <v>0</v>
      </c>
      <c r="J97" s="34" t="s">
        <v>103</v>
      </c>
      <c r="K97" s="51">
        <v>0</v>
      </c>
      <c r="L97" s="51">
        <v>0</v>
      </c>
      <c r="M97" s="2"/>
    </row>
    <row r="98" spans="2:13">
      <c r="B98" s="2"/>
      <c r="C98" s="37" t="s">
        <v>208</v>
      </c>
      <c r="D98" s="38"/>
      <c r="E98" s="39">
        <v>0</v>
      </c>
      <c r="F98" s="39">
        <v>0</v>
      </c>
      <c r="G98" s="39">
        <v>0</v>
      </c>
      <c r="H98" s="51">
        <v>0</v>
      </c>
      <c r="I98" s="51">
        <v>0</v>
      </c>
      <c r="J98" s="34" t="s">
        <v>103</v>
      </c>
      <c r="K98" s="51">
        <v>0</v>
      </c>
      <c r="L98" s="51">
        <v>0</v>
      </c>
      <c r="M98" s="2"/>
    </row>
    <row r="99" spans="2:13">
      <c r="B99" s="2"/>
      <c r="C99" s="37" t="s">
        <v>209</v>
      </c>
      <c r="D99" s="38"/>
      <c r="E99" s="39">
        <v>0</v>
      </c>
      <c r="F99" s="39">
        <v>0</v>
      </c>
      <c r="G99" s="39">
        <v>0</v>
      </c>
      <c r="H99" s="51">
        <v>0</v>
      </c>
      <c r="I99" s="51">
        <v>0</v>
      </c>
      <c r="J99" s="34" t="s">
        <v>103</v>
      </c>
      <c r="K99" s="51">
        <v>0</v>
      </c>
      <c r="L99" s="51">
        <v>0</v>
      </c>
      <c r="M99" s="2"/>
    </row>
    <row r="100" spans="2:13">
      <c r="B100" s="2"/>
      <c r="C100" s="37" t="s">
        <v>210</v>
      </c>
      <c r="D100" s="38"/>
      <c r="E100" s="39">
        <v>0</v>
      </c>
      <c r="F100" s="39">
        <v>0</v>
      </c>
      <c r="G100" s="39">
        <v>0</v>
      </c>
      <c r="H100" s="51">
        <v>0</v>
      </c>
      <c r="I100" s="51">
        <v>0</v>
      </c>
      <c r="J100" s="34" t="s">
        <v>103</v>
      </c>
      <c r="K100" s="51">
        <v>0</v>
      </c>
      <c r="L100" s="51">
        <v>0</v>
      </c>
      <c r="M100" s="2"/>
    </row>
    <row r="101" spans="2:13">
      <c r="B101" s="2"/>
      <c r="C101" s="37" t="s">
        <v>211</v>
      </c>
      <c r="D101" s="38"/>
      <c r="E101" s="39">
        <v>0</v>
      </c>
      <c r="F101" s="39">
        <v>0</v>
      </c>
      <c r="G101" s="39">
        <v>0</v>
      </c>
      <c r="H101" s="51">
        <v>0</v>
      </c>
      <c r="I101" s="51">
        <v>0</v>
      </c>
      <c r="J101" s="34" t="s">
        <v>103</v>
      </c>
      <c r="K101" s="51">
        <v>0</v>
      </c>
      <c r="L101" s="51">
        <v>0</v>
      </c>
      <c r="M101" s="2"/>
    </row>
    <row r="102" spans="2:13">
      <c r="B102" s="2"/>
      <c r="C102" s="37" t="s">
        <v>212</v>
      </c>
      <c r="D102" s="38"/>
      <c r="E102" s="39">
        <v>0</v>
      </c>
      <c r="F102" s="39">
        <v>0</v>
      </c>
      <c r="G102" s="39">
        <v>0</v>
      </c>
      <c r="H102" s="51">
        <v>0</v>
      </c>
      <c r="I102" s="51">
        <v>0</v>
      </c>
      <c r="J102" s="34" t="s">
        <v>103</v>
      </c>
      <c r="K102" s="51">
        <v>0</v>
      </c>
      <c r="L102" s="51">
        <v>0</v>
      </c>
      <c r="M102" s="2"/>
    </row>
    <row r="103" spans="2:13">
      <c r="B103" s="2"/>
      <c r="C103" s="37" t="s">
        <v>213</v>
      </c>
      <c r="D103" s="38"/>
      <c r="E103" s="39">
        <v>0</v>
      </c>
      <c r="F103" s="39">
        <v>0</v>
      </c>
      <c r="G103" s="39">
        <v>0</v>
      </c>
      <c r="H103" s="51">
        <v>0</v>
      </c>
      <c r="I103" s="51">
        <v>0</v>
      </c>
      <c r="J103" s="34" t="s">
        <v>103</v>
      </c>
      <c r="K103" s="51">
        <v>0</v>
      </c>
      <c r="L103" s="51">
        <v>0</v>
      </c>
      <c r="M103" s="2"/>
    </row>
    <row r="104" spans="2:13">
      <c r="B104" s="2"/>
      <c r="C104" s="37" t="s">
        <v>214</v>
      </c>
      <c r="D104" s="38"/>
      <c r="E104" s="39">
        <v>0</v>
      </c>
      <c r="F104" s="39">
        <v>0</v>
      </c>
      <c r="G104" s="39">
        <v>0</v>
      </c>
      <c r="H104" s="51">
        <v>0</v>
      </c>
      <c r="I104" s="51">
        <v>0</v>
      </c>
      <c r="J104" s="34" t="s">
        <v>103</v>
      </c>
      <c r="K104" s="51">
        <v>0</v>
      </c>
      <c r="L104" s="51">
        <v>0</v>
      </c>
      <c r="M104" s="2"/>
    </row>
    <row r="105" spans="2:13">
      <c r="B105" s="2"/>
      <c r="C105" s="37" t="s">
        <v>215</v>
      </c>
      <c r="D105" s="38"/>
      <c r="E105" s="39">
        <v>0</v>
      </c>
      <c r="F105" s="39">
        <v>0</v>
      </c>
      <c r="G105" s="39">
        <v>0</v>
      </c>
      <c r="H105" s="51">
        <v>0</v>
      </c>
      <c r="I105" s="51">
        <v>0</v>
      </c>
      <c r="J105" s="34" t="s">
        <v>103</v>
      </c>
      <c r="K105" s="51">
        <v>0</v>
      </c>
      <c r="L105" s="51">
        <v>0</v>
      </c>
      <c r="M105" s="2"/>
    </row>
    <row r="106" spans="2:13">
      <c r="B106" s="2"/>
      <c r="C106" s="37" t="s">
        <v>216</v>
      </c>
      <c r="D106" s="38"/>
      <c r="E106" s="39">
        <v>0</v>
      </c>
      <c r="F106" s="39">
        <v>0</v>
      </c>
      <c r="G106" s="39">
        <v>0</v>
      </c>
      <c r="H106" s="51">
        <v>0</v>
      </c>
      <c r="I106" s="51">
        <v>0</v>
      </c>
      <c r="J106" s="34" t="s">
        <v>103</v>
      </c>
      <c r="K106" s="51">
        <v>0</v>
      </c>
      <c r="L106" s="51">
        <v>0</v>
      </c>
      <c r="M106" s="2"/>
    </row>
    <row r="107" spans="2:13">
      <c r="B107" s="2"/>
      <c r="C107" s="37" t="s">
        <v>217</v>
      </c>
      <c r="D107" s="38"/>
      <c r="E107" s="39">
        <v>0</v>
      </c>
      <c r="F107" s="39">
        <v>0</v>
      </c>
      <c r="G107" s="39">
        <v>0</v>
      </c>
      <c r="H107" s="51">
        <v>0</v>
      </c>
      <c r="I107" s="51">
        <v>0</v>
      </c>
      <c r="J107" s="34" t="s">
        <v>103</v>
      </c>
      <c r="K107" s="51">
        <v>0</v>
      </c>
      <c r="L107" s="51">
        <v>0</v>
      </c>
      <c r="M107" s="2"/>
    </row>
    <row r="108" spans="2:13">
      <c r="B108" s="2"/>
      <c r="C108" s="37" t="s">
        <v>218</v>
      </c>
      <c r="D108" s="38"/>
      <c r="E108" s="39">
        <v>0</v>
      </c>
      <c r="F108" s="39">
        <v>0</v>
      </c>
      <c r="G108" s="39">
        <v>0</v>
      </c>
      <c r="H108" s="51">
        <v>0</v>
      </c>
      <c r="I108" s="51">
        <v>0</v>
      </c>
      <c r="J108" s="34" t="s">
        <v>103</v>
      </c>
      <c r="K108" s="51">
        <v>0</v>
      </c>
      <c r="L108" s="51">
        <v>0</v>
      </c>
      <c r="M108" s="2"/>
    </row>
    <row r="109" spans="2:13">
      <c r="B109" s="2"/>
      <c r="C109" s="37" t="s">
        <v>219</v>
      </c>
      <c r="D109" s="38"/>
      <c r="E109" s="39">
        <v>0</v>
      </c>
      <c r="F109" s="39">
        <v>0</v>
      </c>
      <c r="G109" s="39">
        <v>0</v>
      </c>
      <c r="H109" s="51">
        <v>0</v>
      </c>
      <c r="I109" s="51">
        <v>0</v>
      </c>
      <c r="J109" s="34" t="s">
        <v>103</v>
      </c>
      <c r="K109" s="51">
        <v>0</v>
      </c>
      <c r="L109" s="51">
        <v>0</v>
      </c>
      <c r="M109" s="2"/>
    </row>
    <row r="110" spans="2:13">
      <c r="B110" s="2"/>
      <c r="C110" s="37" t="s">
        <v>220</v>
      </c>
      <c r="D110" s="38"/>
      <c r="E110" s="39">
        <v>0</v>
      </c>
      <c r="F110" s="39">
        <v>0</v>
      </c>
      <c r="G110" s="39">
        <v>0</v>
      </c>
      <c r="H110" s="51">
        <v>0</v>
      </c>
      <c r="I110" s="51">
        <v>0</v>
      </c>
      <c r="J110" s="34" t="s">
        <v>103</v>
      </c>
      <c r="K110" s="51">
        <v>0</v>
      </c>
      <c r="L110" s="51">
        <v>0</v>
      </c>
      <c r="M110" s="2"/>
    </row>
    <row r="111" spans="2:13">
      <c r="B111" s="2"/>
      <c r="C111" s="37" t="s">
        <v>221</v>
      </c>
      <c r="D111" s="38"/>
      <c r="E111" s="39">
        <v>0</v>
      </c>
      <c r="F111" s="39">
        <v>0</v>
      </c>
      <c r="G111" s="39">
        <v>0</v>
      </c>
      <c r="H111" s="51">
        <v>0</v>
      </c>
      <c r="I111" s="51">
        <v>0</v>
      </c>
      <c r="J111" s="34" t="s">
        <v>103</v>
      </c>
      <c r="K111" s="51">
        <v>0</v>
      </c>
      <c r="L111" s="51">
        <v>0</v>
      </c>
      <c r="M111" s="2"/>
    </row>
    <row r="112" spans="2:13">
      <c r="B112" s="2"/>
      <c r="C112" s="37" t="s">
        <v>222</v>
      </c>
      <c r="D112" s="38"/>
      <c r="E112" s="39">
        <v>0</v>
      </c>
      <c r="F112" s="39">
        <v>0</v>
      </c>
      <c r="G112" s="39">
        <v>0</v>
      </c>
      <c r="H112" s="51">
        <v>0</v>
      </c>
      <c r="I112" s="51">
        <v>0</v>
      </c>
      <c r="J112" s="34" t="s">
        <v>103</v>
      </c>
      <c r="K112" s="51">
        <v>0</v>
      </c>
      <c r="L112" s="51">
        <v>0</v>
      </c>
      <c r="M112" s="2"/>
    </row>
    <row r="113" spans="1:13">
      <c r="B113" s="2"/>
      <c r="C113" s="37" t="s">
        <v>223</v>
      </c>
      <c r="D113" s="38"/>
      <c r="E113" s="39">
        <v>0</v>
      </c>
      <c r="F113" s="39">
        <v>0</v>
      </c>
      <c r="G113" s="39">
        <v>0</v>
      </c>
      <c r="H113" s="51">
        <v>0</v>
      </c>
      <c r="I113" s="51">
        <v>0</v>
      </c>
      <c r="J113" s="34" t="s">
        <v>103</v>
      </c>
      <c r="K113" s="51">
        <v>0</v>
      </c>
      <c r="L113" s="51">
        <v>0</v>
      </c>
      <c r="M113" s="2"/>
    </row>
    <row r="114" spans="1:13" s="14" customFormat="1">
      <c r="B114" s="5"/>
      <c r="C114" s="49" t="s">
        <v>224</v>
      </c>
      <c r="D114" s="50"/>
      <c r="E114" s="39">
        <v>0</v>
      </c>
      <c r="F114" s="39">
        <v>0</v>
      </c>
      <c r="G114" s="39">
        <v>0</v>
      </c>
      <c r="H114" s="51">
        <v>0</v>
      </c>
      <c r="I114" s="51">
        <v>0</v>
      </c>
      <c r="J114" s="34" t="s">
        <v>103</v>
      </c>
      <c r="K114" s="51">
        <v>0</v>
      </c>
      <c r="L114" s="51">
        <v>0</v>
      </c>
      <c r="M114" s="5"/>
    </row>
    <row r="115" spans="1:13" s="14" customFormat="1">
      <c r="A115" s="15" t="s">
        <v>225</v>
      </c>
      <c r="B115" s="5"/>
      <c r="C115" s="49" t="s">
        <v>226</v>
      </c>
      <c r="D115" s="50"/>
      <c r="E115" s="39">
        <v>0</v>
      </c>
      <c r="F115" s="39">
        <v>0</v>
      </c>
      <c r="G115" s="39">
        <v>0</v>
      </c>
      <c r="H115" s="51">
        <v>0</v>
      </c>
      <c r="I115" s="51">
        <v>0</v>
      </c>
      <c r="J115" s="34" t="s">
        <v>103</v>
      </c>
      <c r="K115" s="51">
        <v>0</v>
      </c>
      <c r="L115" s="51">
        <v>0</v>
      </c>
      <c r="M115" s="5"/>
    </row>
    <row r="116" spans="1:13">
      <c r="A116" s="16" t="s">
        <v>227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5.0999999999999996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</sheetData>
  <sheetProtection sheet="1" formatColumns="0" formatRows="0" insertRows="0" deleteRows="0" selectLockedCells="1"/>
  <mergeCells count="917">
    <mergeCell ref="C7:L7"/>
    <mergeCell ref="C9:L9"/>
    <mergeCell ref="C10:L10"/>
    <mergeCell ref="C11:L11"/>
    <mergeCell ref="C13:L13"/>
    <mergeCell ref="H15"/>
    <mergeCell ref="G14:H14"/>
    <mergeCell ref="I15"/>
    <mergeCell ref="J15"/>
    <mergeCell ref="K15"/>
    <mergeCell ref="I14:L14"/>
    <mergeCell ref="L15"/>
    <mergeCell ref="C14:D15"/>
    <mergeCell ref="E15"/>
    <mergeCell ref="F15"/>
    <mergeCell ref="E14:F14"/>
    <mergeCell ref="G15"/>
    <mergeCell ref="I16"/>
    <mergeCell ref="J16"/>
    <mergeCell ref="K16"/>
    <mergeCell ref="L16"/>
    <mergeCell ref="C17:D17"/>
    <mergeCell ref="E17"/>
    <mergeCell ref="F17"/>
    <mergeCell ref="G17"/>
    <mergeCell ref="H17"/>
    <mergeCell ref="I17"/>
    <mergeCell ref="J17"/>
    <mergeCell ref="K17"/>
    <mergeCell ref="L17"/>
    <mergeCell ref="C16:D16"/>
    <mergeCell ref="E16"/>
    <mergeCell ref="F16"/>
    <mergeCell ref="G16"/>
    <mergeCell ref="H16"/>
    <mergeCell ref="I18"/>
    <mergeCell ref="J18"/>
    <mergeCell ref="K18"/>
    <mergeCell ref="L18"/>
    <mergeCell ref="C19:D19"/>
    <mergeCell ref="E19"/>
    <mergeCell ref="F19"/>
    <mergeCell ref="G19"/>
    <mergeCell ref="H19"/>
    <mergeCell ref="I19"/>
    <mergeCell ref="J19"/>
    <mergeCell ref="K19"/>
    <mergeCell ref="L19"/>
    <mergeCell ref="C18:D18"/>
    <mergeCell ref="E18"/>
    <mergeCell ref="F18"/>
    <mergeCell ref="G18"/>
    <mergeCell ref="H18"/>
    <mergeCell ref="I20"/>
    <mergeCell ref="J20"/>
    <mergeCell ref="K20"/>
    <mergeCell ref="L20"/>
    <mergeCell ref="C21:D21"/>
    <mergeCell ref="E21"/>
    <mergeCell ref="F21"/>
    <mergeCell ref="G21"/>
    <mergeCell ref="H21"/>
    <mergeCell ref="I21"/>
    <mergeCell ref="J21"/>
    <mergeCell ref="K21"/>
    <mergeCell ref="L21"/>
    <mergeCell ref="C20:D20"/>
    <mergeCell ref="E20"/>
    <mergeCell ref="F20"/>
    <mergeCell ref="G20"/>
    <mergeCell ref="H20"/>
    <mergeCell ref="I22"/>
    <mergeCell ref="J22"/>
    <mergeCell ref="K22"/>
    <mergeCell ref="L22"/>
    <mergeCell ref="C23:D23"/>
    <mergeCell ref="E23"/>
    <mergeCell ref="F23"/>
    <mergeCell ref="G23"/>
    <mergeCell ref="H23"/>
    <mergeCell ref="I23"/>
    <mergeCell ref="J23"/>
    <mergeCell ref="K23"/>
    <mergeCell ref="L23"/>
    <mergeCell ref="C22:D22"/>
    <mergeCell ref="E22"/>
    <mergeCell ref="F22"/>
    <mergeCell ref="G22"/>
    <mergeCell ref="H22"/>
    <mergeCell ref="I24"/>
    <mergeCell ref="J24"/>
    <mergeCell ref="K24"/>
    <mergeCell ref="L24"/>
    <mergeCell ref="C25:D25"/>
    <mergeCell ref="E25"/>
    <mergeCell ref="F25"/>
    <mergeCell ref="G25"/>
    <mergeCell ref="H25"/>
    <mergeCell ref="I25"/>
    <mergeCell ref="J25"/>
    <mergeCell ref="K25"/>
    <mergeCell ref="L25"/>
    <mergeCell ref="C24:D24"/>
    <mergeCell ref="E24"/>
    <mergeCell ref="F24"/>
    <mergeCell ref="G24"/>
    <mergeCell ref="H24"/>
    <mergeCell ref="I26"/>
    <mergeCell ref="J26"/>
    <mergeCell ref="K26"/>
    <mergeCell ref="L26"/>
    <mergeCell ref="C27:D27"/>
    <mergeCell ref="E27"/>
    <mergeCell ref="F27"/>
    <mergeCell ref="G27"/>
    <mergeCell ref="H27"/>
    <mergeCell ref="I27"/>
    <mergeCell ref="J27"/>
    <mergeCell ref="K27"/>
    <mergeCell ref="L27"/>
    <mergeCell ref="C26:D26"/>
    <mergeCell ref="E26"/>
    <mergeCell ref="F26"/>
    <mergeCell ref="G26"/>
    <mergeCell ref="H26"/>
    <mergeCell ref="I28"/>
    <mergeCell ref="J28"/>
    <mergeCell ref="K28"/>
    <mergeCell ref="L28"/>
    <mergeCell ref="C29:D29"/>
    <mergeCell ref="E29"/>
    <mergeCell ref="F29"/>
    <mergeCell ref="G29"/>
    <mergeCell ref="H29"/>
    <mergeCell ref="I29"/>
    <mergeCell ref="J29"/>
    <mergeCell ref="K29"/>
    <mergeCell ref="L29"/>
    <mergeCell ref="C28:D28"/>
    <mergeCell ref="E28"/>
    <mergeCell ref="F28"/>
    <mergeCell ref="G28"/>
    <mergeCell ref="H28"/>
    <mergeCell ref="I30"/>
    <mergeCell ref="J30"/>
    <mergeCell ref="K30"/>
    <mergeCell ref="L30"/>
    <mergeCell ref="C31:D31"/>
    <mergeCell ref="E31"/>
    <mergeCell ref="F31"/>
    <mergeCell ref="G31"/>
    <mergeCell ref="H31"/>
    <mergeCell ref="I31"/>
    <mergeCell ref="J31"/>
    <mergeCell ref="K31"/>
    <mergeCell ref="L31"/>
    <mergeCell ref="C30:D30"/>
    <mergeCell ref="E30"/>
    <mergeCell ref="F30"/>
    <mergeCell ref="G30"/>
    <mergeCell ref="H30"/>
    <mergeCell ref="I32"/>
    <mergeCell ref="J32"/>
    <mergeCell ref="K32"/>
    <mergeCell ref="L32"/>
    <mergeCell ref="C33:D33"/>
    <mergeCell ref="E33"/>
    <mergeCell ref="F33"/>
    <mergeCell ref="G33"/>
    <mergeCell ref="H33"/>
    <mergeCell ref="I33"/>
    <mergeCell ref="J33"/>
    <mergeCell ref="K33"/>
    <mergeCell ref="L33"/>
    <mergeCell ref="C32:D32"/>
    <mergeCell ref="E32"/>
    <mergeCell ref="F32"/>
    <mergeCell ref="G32"/>
    <mergeCell ref="H32"/>
    <mergeCell ref="I34"/>
    <mergeCell ref="J34"/>
    <mergeCell ref="K34"/>
    <mergeCell ref="L34"/>
    <mergeCell ref="C35:D35"/>
    <mergeCell ref="E35"/>
    <mergeCell ref="F35"/>
    <mergeCell ref="G35"/>
    <mergeCell ref="H35"/>
    <mergeCell ref="I35"/>
    <mergeCell ref="J35"/>
    <mergeCell ref="K35"/>
    <mergeCell ref="L35"/>
    <mergeCell ref="C34:D34"/>
    <mergeCell ref="E34"/>
    <mergeCell ref="F34"/>
    <mergeCell ref="G34"/>
    <mergeCell ref="H34"/>
    <mergeCell ref="I36"/>
    <mergeCell ref="J36"/>
    <mergeCell ref="K36"/>
    <mergeCell ref="L36"/>
    <mergeCell ref="C37:D37"/>
    <mergeCell ref="E37"/>
    <mergeCell ref="F37"/>
    <mergeCell ref="G37"/>
    <mergeCell ref="H37"/>
    <mergeCell ref="I37"/>
    <mergeCell ref="J37"/>
    <mergeCell ref="K37"/>
    <mergeCell ref="L37"/>
    <mergeCell ref="C36:D36"/>
    <mergeCell ref="E36"/>
    <mergeCell ref="F36"/>
    <mergeCell ref="G36"/>
    <mergeCell ref="H36"/>
    <mergeCell ref="I38"/>
    <mergeCell ref="J38"/>
    <mergeCell ref="K38"/>
    <mergeCell ref="L38"/>
    <mergeCell ref="C39:D39"/>
    <mergeCell ref="E39"/>
    <mergeCell ref="F39"/>
    <mergeCell ref="G39"/>
    <mergeCell ref="H39"/>
    <mergeCell ref="I39"/>
    <mergeCell ref="J39"/>
    <mergeCell ref="K39"/>
    <mergeCell ref="L39"/>
    <mergeCell ref="C38:D38"/>
    <mergeCell ref="E38"/>
    <mergeCell ref="F38"/>
    <mergeCell ref="G38"/>
    <mergeCell ref="H38"/>
    <mergeCell ref="I40"/>
    <mergeCell ref="J40"/>
    <mergeCell ref="K40"/>
    <mergeCell ref="L40"/>
    <mergeCell ref="C41:D41"/>
    <mergeCell ref="E41"/>
    <mergeCell ref="F41"/>
    <mergeCell ref="G41"/>
    <mergeCell ref="H41"/>
    <mergeCell ref="I41"/>
    <mergeCell ref="J41"/>
    <mergeCell ref="K41"/>
    <mergeCell ref="L41"/>
    <mergeCell ref="C40:D40"/>
    <mergeCell ref="E40"/>
    <mergeCell ref="F40"/>
    <mergeCell ref="G40"/>
    <mergeCell ref="H40"/>
    <mergeCell ref="I42"/>
    <mergeCell ref="J42"/>
    <mergeCell ref="K42"/>
    <mergeCell ref="L42"/>
    <mergeCell ref="C43:D43"/>
    <mergeCell ref="E43"/>
    <mergeCell ref="F43"/>
    <mergeCell ref="G43"/>
    <mergeCell ref="H43"/>
    <mergeCell ref="I43"/>
    <mergeCell ref="J43"/>
    <mergeCell ref="K43"/>
    <mergeCell ref="L43"/>
    <mergeCell ref="C42:D42"/>
    <mergeCell ref="E42"/>
    <mergeCell ref="F42"/>
    <mergeCell ref="G42"/>
    <mergeCell ref="H42"/>
    <mergeCell ref="I44"/>
    <mergeCell ref="J44"/>
    <mergeCell ref="K44"/>
    <mergeCell ref="L44"/>
    <mergeCell ref="C45:D45"/>
    <mergeCell ref="E45"/>
    <mergeCell ref="F45"/>
    <mergeCell ref="G45"/>
    <mergeCell ref="H45"/>
    <mergeCell ref="I45"/>
    <mergeCell ref="J45"/>
    <mergeCell ref="K45"/>
    <mergeCell ref="L45"/>
    <mergeCell ref="C44:D44"/>
    <mergeCell ref="E44"/>
    <mergeCell ref="F44"/>
    <mergeCell ref="G44"/>
    <mergeCell ref="H44"/>
    <mergeCell ref="I46"/>
    <mergeCell ref="J46"/>
    <mergeCell ref="K46"/>
    <mergeCell ref="L46"/>
    <mergeCell ref="C47:D47"/>
    <mergeCell ref="E47"/>
    <mergeCell ref="F47"/>
    <mergeCell ref="G47"/>
    <mergeCell ref="H47"/>
    <mergeCell ref="I47"/>
    <mergeCell ref="J47"/>
    <mergeCell ref="K47"/>
    <mergeCell ref="L47"/>
    <mergeCell ref="C46:D46"/>
    <mergeCell ref="E46"/>
    <mergeCell ref="F46"/>
    <mergeCell ref="G46"/>
    <mergeCell ref="H46"/>
    <mergeCell ref="I48"/>
    <mergeCell ref="J48"/>
    <mergeCell ref="K48"/>
    <mergeCell ref="L48"/>
    <mergeCell ref="C49:D49"/>
    <mergeCell ref="E49"/>
    <mergeCell ref="F49"/>
    <mergeCell ref="G49"/>
    <mergeCell ref="H49"/>
    <mergeCell ref="I49"/>
    <mergeCell ref="J49"/>
    <mergeCell ref="K49"/>
    <mergeCell ref="L49"/>
    <mergeCell ref="C48:D48"/>
    <mergeCell ref="E48"/>
    <mergeCell ref="F48"/>
    <mergeCell ref="G48"/>
    <mergeCell ref="H48"/>
    <mergeCell ref="I50"/>
    <mergeCell ref="J50"/>
    <mergeCell ref="K50"/>
    <mergeCell ref="L50"/>
    <mergeCell ref="C51:D51"/>
    <mergeCell ref="E51"/>
    <mergeCell ref="F51"/>
    <mergeCell ref="G51"/>
    <mergeCell ref="H51"/>
    <mergeCell ref="I51"/>
    <mergeCell ref="J51"/>
    <mergeCell ref="K51"/>
    <mergeCell ref="L51"/>
    <mergeCell ref="C50:D50"/>
    <mergeCell ref="E50"/>
    <mergeCell ref="F50"/>
    <mergeCell ref="G50"/>
    <mergeCell ref="H50"/>
    <mergeCell ref="I52"/>
    <mergeCell ref="J52"/>
    <mergeCell ref="K52"/>
    <mergeCell ref="L52"/>
    <mergeCell ref="C53:D53"/>
    <mergeCell ref="E53"/>
    <mergeCell ref="F53"/>
    <mergeCell ref="G53"/>
    <mergeCell ref="H53"/>
    <mergeCell ref="I53"/>
    <mergeCell ref="J53"/>
    <mergeCell ref="K53"/>
    <mergeCell ref="L53"/>
    <mergeCell ref="C52:D52"/>
    <mergeCell ref="E52"/>
    <mergeCell ref="F52"/>
    <mergeCell ref="G52"/>
    <mergeCell ref="H52"/>
    <mergeCell ref="I54"/>
    <mergeCell ref="J54"/>
    <mergeCell ref="K54"/>
    <mergeCell ref="L54"/>
    <mergeCell ref="C55:D55"/>
    <mergeCell ref="E55"/>
    <mergeCell ref="F55"/>
    <mergeCell ref="G55"/>
    <mergeCell ref="H55"/>
    <mergeCell ref="I55"/>
    <mergeCell ref="J55"/>
    <mergeCell ref="K55"/>
    <mergeCell ref="L55"/>
    <mergeCell ref="C54:D54"/>
    <mergeCell ref="E54"/>
    <mergeCell ref="F54"/>
    <mergeCell ref="G54"/>
    <mergeCell ref="H54"/>
    <mergeCell ref="I56"/>
    <mergeCell ref="J56"/>
    <mergeCell ref="K56"/>
    <mergeCell ref="L56"/>
    <mergeCell ref="C57:D57"/>
    <mergeCell ref="E57"/>
    <mergeCell ref="F57"/>
    <mergeCell ref="G57"/>
    <mergeCell ref="H57"/>
    <mergeCell ref="I57"/>
    <mergeCell ref="J57"/>
    <mergeCell ref="K57"/>
    <mergeCell ref="L57"/>
    <mergeCell ref="C56:D56"/>
    <mergeCell ref="E56"/>
    <mergeCell ref="F56"/>
    <mergeCell ref="G56"/>
    <mergeCell ref="H56"/>
    <mergeCell ref="I58"/>
    <mergeCell ref="J58"/>
    <mergeCell ref="K58"/>
    <mergeCell ref="L58"/>
    <mergeCell ref="C59:D59"/>
    <mergeCell ref="E59"/>
    <mergeCell ref="F59"/>
    <mergeCell ref="G59"/>
    <mergeCell ref="H59"/>
    <mergeCell ref="I59"/>
    <mergeCell ref="J59"/>
    <mergeCell ref="K59"/>
    <mergeCell ref="L59"/>
    <mergeCell ref="C58:D58"/>
    <mergeCell ref="E58"/>
    <mergeCell ref="F58"/>
    <mergeCell ref="G58"/>
    <mergeCell ref="H58"/>
    <mergeCell ref="I60"/>
    <mergeCell ref="J60"/>
    <mergeCell ref="K60"/>
    <mergeCell ref="L60"/>
    <mergeCell ref="C61:D61"/>
    <mergeCell ref="E61"/>
    <mergeCell ref="F61"/>
    <mergeCell ref="G61"/>
    <mergeCell ref="H61"/>
    <mergeCell ref="I61"/>
    <mergeCell ref="J61"/>
    <mergeCell ref="K61"/>
    <mergeCell ref="L61"/>
    <mergeCell ref="C60:D60"/>
    <mergeCell ref="E60"/>
    <mergeCell ref="F60"/>
    <mergeCell ref="G60"/>
    <mergeCell ref="H60"/>
    <mergeCell ref="I62"/>
    <mergeCell ref="J62"/>
    <mergeCell ref="K62"/>
    <mergeCell ref="L62"/>
    <mergeCell ref="C63:D63"/>
    <mergeCell ref="E63"/>
    <mergeCell ref="F63"/>
    <mergeCell ref="G63"/>
    <mergeCell ref="H63"/>
    <mergeCell ref="I63"/>
    <mergeCell ref="J63"/>
    <mergeCell ref="K63"/>
    <mergeCell ref="L63"/>
    <mergeCell ref="C62:D62"/>
    <mergeCell ref="E62"/>
    <mergeCell ref="F62"/>
    <mergeCell ref="G62"/>
    <mergeCell ref="H62"/>
    <mergeCell ref="I64"/>
    <mergeCell ref="J64"/>
    <mergeCell ref="K64"/>
    <mergeCell ref="L64"/>
    <mergeCell ref="C65:D65"/>
    <mergeCell ref="E65"/>
    <mergeCell ref="F65"/>
    <mergeCell ref="G65"/>
    <mergeCell ref="H65"/>
    <mergeCell ref="I65"/>
    <mergeCell ref="J65"/>
    <mergeCell ref="K65"/>
    <mergeCell ref="L65"/>
    <mergeCell ref="C64:D64"/>
    <mergeCell ref="E64"/>
    <mergeCell ref="F64"/>
    <mergeCell ref="G64"/>
    <mergeCell ref="H64"/>
    <mergeCell ref="I66"/>
    <mergeCell ref="J66"/>
    <mergeCell ref="K66"/>
    <mergeCell ref="L66"/>
    <mergeCell ref="C67:D67"/>
    <mergeCell ref="E67"/>
    <mergeCell ref="F67"/>
    <mergeCell ref="G67"/>
    <mergeCell ref="H67"/>
    <mergeCell ref="I67"/>
    <mergeCell ref="J67"/>
    <mergeCell ref="K67"/>
    <mergeCell ref="L67"/>
    <mergeCell ref="C66:D66"/>
    <mergeCell ref="E66"/>
    <mergeCell ref="F66"/>
    <mergeCell ref="G66"/>
    <mergeCell ref="H66"/>
    <mergeCell ref="I68"/>
    <mergeCell ref="J68"/>
    <mergeCell ref="K68"/>
    <mergeCell ref="L68"/>
    <mergeCell ref="C69:D69"/>
    <mergeCell ref="E69"/>
    <mergeCell ref="F69"/>
    <mergeCell ref="G69"/>
    <mergeCell ref="H69"/>
    <mergeCell ref="I69"/>
    <mergeCell ref="J69"/>
    <mergeCell ref="K69"/>
    <mergeCell ref="L69"/>
    <mergeCell ref="C68:D68"/>
    <mergeCell ref="E68"/>
    <mergeCell ref="F68"/>
    <mergeCell ref="G68"/>
    <mergeCell ref="H68"/>
    <mergeCell ref="I70"/>
    <mergeCell ref="J70"/>
    <mergeCell ref="K70"/>
    <mergeCell ref="L70"/>
    <mergeCell ref="C71:D71"/>
    <mergeCell ref="E71"/>
    <mergeCell ref="F71"/>
    <mergeCell ref="G71"/>
    <mergeCell ref="H71"/>
    <mergeCell ref="I71"/>
    <mergeCell ref="J71"/>
    <mergeCell ref="K71"/>
    <mergeCell ref="L71"/>
    <mergeCell ref="C70:D70"/>
    <mergeCell ref="E70"/>
    <mergeCell ref="F70"/>
    <mergeCell ref="G70"/>
    <mergeCell ref="H70"/>
    <mergeCell ref="I72"/>
    <mergeCell ref="J72"/>
    <mergeCell ref="K72"/>
    <mergeCell ref="L72"/>
    <mergeCell ref="C73:D73"/>
    <mergeCell ref="E73"/>
    <mergeCell ref="F73"/>
    <mergeCell ref="G73"/>
    <mergeCell ref="H73"/>
    <mergeCell ref="I73"/>
    <mergeCell ref="J73"/>
    <mergeCell ref="K73"/>
    <mergeCell ref="L73"/>
    <mergeCell ref="C72:D72"/>
    <mergeCell ref="E72"/>
    <mergeCell ref="F72"/>
    <mergeCell ref="G72"/>
    <mergeCell ref="H72"/>
    <mergeCell ref="I74"/>
    <mergeCell ref="J74"/>
    <mergeCell ref="K74"/>
    <mergeCell ref="L74"/>
    <mergeCell ref="C75:D75"/>
    <mergeCell ref="E75"/>
    <mergeCell ref="F75"/>
    <mergeCell ref="G75"/>
    <mergeCell ref="H75"/>
    <mergeCell ref="I75"/>
    <mergeCell ref="J75"/>
    <mergeCell ref="K75"/>
    <mergeCell ref="L75"/>
    <mergeCell ref="C74:D74"/>
    <mergeCell ref="E74"/>
    <mergeCell ref="F74"/>
    <mergeCell ref="G74"/>
    <mergeCell ref="H74"/>
    <mergeCell ref="I76"/>
    <mergeCell ref="J76"/>
    <mergeCell ref="K76"/>
    <mergeCell ref="L76"/>
    <mergeCell ref="C77:D77"/>
    <mergeCell ref="E77"/>
    <mergeCell ref="F77"/>
    <mergeCell ref="G77"/>
    <mergeCell ref="H77"/>
    <mergeCell ref="I77"/>
    <mergeCell ref="J77"/>
    <mergeCell ref="K77"/>
    <mergeCell ref="L77"/>
    <mergeCell ref="C76:D76"/>
    <mergeCell ref="E76"/>
    <mergeCell ref="F76"/>
    <mergeCell ref="G76"/>
    <mergeCell ref="H76"/>
    <mergeCell ref="I78"/>
    <mergeCell ref="J78"/>
    <mergeCell ref="K78"/>
    <mergeCell ref="L78"/>
    <mergeCell ref="C79:D79"/>
    <mergeCell ref="E79"/>
    <mergeCell ref="F79"/>
    <mergeCell ref="G79"/>
    <mergeCell ref="H79"/>
    <mergeCell ref="I79"/>
    <mergeCell ref="J79"/>
    <mergeCell ref="K79"/>
    <mergeCell ref="L79"/>
    <mergeCell ref="C78:D78"/>
    <mergeCell ref="E78"/>
    <mergeCell ref="F78"/>
    <mergeCell ref="G78"/>
    <mergeCell ref="H78"/>
    <mergeCell ref="I80"/>
    <mergeCell ref="J80"/>
    <mergeCell ref="K80"/>
    <mergeCell ref="L80"/>
    <mergeCell ref="C81:D81"/>
    <mergeCell ref="E81"/>
    <mergeCell ref="F81"/>
    <mergeCell ref="G81"/>
    <mergeCell ref="H81"/>
    <mergeCell ref="I81"/>
    <mergeCell ref="J81"/>
    <mergeCell ref="K81"/>
    <mergeCell ref="L81"/>
    <mergeCell ref="C80:D80"/>
    <mergeCell ref="E80"/>
    <mergeCell ref="F80"/>
    <mergeCell ref="G80"/>
    <mergeCell ref="H80"/>
    <mergeCell ref="I82"/>
    <mergeCell ref="J82"/>
    <mergeCell ref="K82"/>
    <mergeCell ref="L82"/>
    <mergeCell ref="C83:D83"/>
    <mergeCell ref="E83"/>
    <mergeCell ref="F83"/>
    <mergeCell ref="G83"/>
    <mergeCell ref="H83"/>
    <mergeCell ref="I83"/>
    <mergeCell ref="J83"/>
    <mergeCell ref="K83"/>
    <mergeCell ref="L83"/>
    <mergeCell ref="C82:D82"/>
    <mergeCell ref="E82"/>
    <mergeCell ref="F82"/>
    <mergeCell ref="G82"/>
    <mergeCell ref="H82"/>
    <mergeCell ref="I84"/>
    <mergeCell ref="J84"/>
    <mergeCell ref="K84"/>
    <mergeCell ref="L84"/>
    <mergeCell ref="C85:D85"/>
    <mergeCell ref="E85"/>
    <mergeCell ref="F85"/>
    <mergeCell ref="G85"/>
    <mergeCell ref="H85"/>
    <mergeCell ref="I85"/>
    <mergeCell ref="J85"/>
    <mergeCell ref="K85"/>
    <mergeCell ref="L85"/>
    <mergeCell ref="C84:D84"/>
    <mergeCell ref="E84"/>
    <mergeCell ref="F84"/>
    <mergeCell ref="G84"/>
    <mergeCell ref="H84"/>
    <mergeCell ref="I86"/>
    <mergeCell ref="J86"/>
    <mergeCell ref="K86"/>
    <mergeCell ref="L86"/>
    <mergeCell ref="C87:D87"/>
    <mergeCell ref="E87"/>
    <mergeCell ref="F87"/>
    <mergeCell ref="G87"/>
    <mergeCell ref="H87"/>
    <mergeCell ref="I87"/>
    <mergeCell ref="J87"/>
    <mergeCell ref="K87"/>
    <mergeCell ref="L87"/>
    <mergeCell ref="C86:D86"/>
    <mergeCell ref="E86"/>
    <mergeCell ref="F86"/>
    <mergeCell ref="G86"/>
    <mergeCell ref="H86"/>
    <mergeCell ref="I88"/>
    <mergeCell ref="J88"/>
    <mergeCell ref="K88"/>
    <mergeCell ref="L88"/>
    <mergeCell ref="C89:D89"/>
    <mergeCell ref="E89"/>
    <mergeCell ref="F89"/>
    <mergeCell ref="G89"/>
    <mergeCell ref="H89"/>
    <mergeCell ref="I89"/>
    <mergeCell ref="J89"/>
    <mergeCell ref="K89"/>
    <mergeCell ref="L89"/>
    <mergeCell ref="C88:D88"/>
    <mergeCell ref="E88"/>
    <mergeCell ref="F88"/>
    <mergeCell ref="G88"/>
    <mergeCell ref="H88"/>
    <mergeCell ref="I90"/>
    <mergeCell ref="J90"/>
    <mergeCell ref="K90"/>
    <mergeCell ref="L90"/>
    <mergeCell ref="C91:D91"/>
    <mergeCell ref="E91"/>
    <mergeCell ref="F91"/>
    <mergeCell ref="G91"/>
    <mergeCell ref="H91"/>
    <mergeCell ref="I91"/>
    <mergeCell ref="J91"/>
    <mergeCell ref="K91"/>
    <mergeCell ref="L91"/>
    <mergeCell ref="C90:D90"/>
    <mergeCell ref="E90"/>
    <mergeCell ref="F90"/>
    <mergeCell ref="G90"/>
    <mergeCell ref="H90"/>
    <mergeCell ref="I92"/>
    <mergeCell ref="J92"/>
    <mergeCell ref="K92"/>
    <mergeCell ref="L92"/>
    <mergeCell ref="C93:D93"/>
    <mergeCell ref="E93"/>
    <mergeCell ref="F93"/>
    <mergeCell ref="G93"/>
    <mergeCell ref="H93"/>
    <mergeCell ref="I93"/>
    <mergeCell ref="J93"/>
    <mergeCell ref="K93"/>
    <mergeCell ref="L93"/>
    <mergeCell ref="C92:D92"/>
    <mergeCell ref="E92"/>
    <mergeCell ref="F92"/>
    <mergeCell ref="G92"/>
    <mergeCell ref="H92"/>
    <mergeCell ref="I94"/>
    <mergeCell ref="J94"/>
    <mergeCell ref="K94"/>
    <mergeCell ref="L94"/>
    <mergeCell ref="C95:D95"/>
    <mergeCell ref="E95"/>
    <mergeCell ref="F95"/>
    <mergeCell ref="G95"/>
    <mergeCell ref="H95"/>
    <mergeCell ref="I95"/>
    <mergeCell ref="J95"/>
    <mergeCell ref="K95"/>
    <mergeCell ref="L95"/>
    <mergeCell ref="C94:D94"/>
    <mergeCell ref="E94"/>
    <mergeCell ref="F94"/>
    <mergeCell ref="G94"/>
    <mergeCell ref="H94"/>
    <mergeCell ref="I96"/>
    <mergeCell ref="J96"/>
    <mergeCell ref="K96"/>
    <mergeCell ref="L96"/>
    <mergeCell ref="C97:D97"/>
    <mergeCell ref="E97"/>
    <mergeCell ref="F97"/>
    <mergeCell ref="G97"/>
    <mergeCell ref="H97"/>
    <mergeCell ref="I97"/>
    <mergeCell ref="J97"/>
    <mergeCell ref="K97"/>
    <mergeCell ref="L97"/>
    <mergeCell ref="C96:D96"/>
    <mergeCell ref="E96"/>
    <mergeCell ref="F96"/>
    <mergeCell ref="G96"/>
    <mergeCell ref="H96"/>
    <mergeCell ref="I98"/>
    <mergeCell ref="J98"/>
    <mergeCell ref="K98"/>
    <mergeCell ref="L98"/>
    <mergeCell ref="C99:D99"/>
    <mergeCell ref="E99"/>
    <mergeCell ref="F99"/>
    <mergeCell ref="G99"/>
    <mergeCell ref="H99"/>
    <mergeCell ref="I99"/>
    <mergeCell ref="J99"/>
    <mergeCell ref="K99"/>
    <mergeCell ref="L99"/>
    <mergeCell ref="C98:D98"/>
    <mergeCell ref="E98"/>
    <mergeCell ref="F98"/>
    <mergeCell ref="G98"/>
    <mergeCell ref="H98"/>
    <mergeCell ref="I100"/>
    <mergeCell ref="J100"/>
    <mergeCell ref="K100"/>
    <mergeCell ref="L100"/>
    <mergeCell ref="C101:D101"/>
    <mergeCell ref="E101"/>
    <mergeCell ref="F101"/>
    <mergeCell ref="G101"/>
    <mergeCell ref="H101"/>
    <mergeCell ref="I101"/>
    <mergeCell ref="J101"/>
    <mergeCell ref="K101"/>
    <mergeCell ref="L101"/>
    <mergeCell ref="C100:D100"/>
    <mergeCell ref="E100"/>
    <mergeCell ref="F100"/>
    <mergeCell ref="G100"/>
    <mergeCell ref="H100"/>
    <mergeCell ref="I102"/>
    <mergeCell ref="J102"/>
    <mergeCell ref="K102"/>
    <mergeCell ref="L102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C102:D102"/>
    <mergeCell ref="E102"/>
    <mergeCell ref="F102"/>
    <mergeCell ref="G102"/>
    <mergeCell ref="H102"/>
    <mergeCell ref="I104"/>
    <mergeCell ref="J104"/>
    <mergeCell ref="K104"/>
    <mergeCell ref="L104"/>
    <mergeCell ref="C105:D105"/>
    <mergeCell ref="E105"/>
    <mergeCell ref="F105"/>
    <mergeCell ref="G105"/>
    <mergeCell ref="H105"/>
    <mergeCell ref="I105"/>
    <mergeCell ref="J105"/>
    <mergeCell ref="K105"/>
    <mergeCell ref="L105"/>
    <mergeCell ref="C104:D104"/>
    <mergeCell ref="E104"/>
    <mergeCell ref="F104"/>
    <mergeCell ref="G104"/>
    <mergeCell ref="H104"/>
    <mergeCell ref="I106"/>
    <mergeCell ref="J106"/>
    <mergeCell ref="K106"/>
    <mergeCell ref="L106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C106:D106"/>
    <mergeCell ref="E106"/>
    <mergeCell ref="F106"/>
    <mergeCell ref="G106"/>
    <mergeCell ref="H106"/>
    <mergeCell ref="I108"/>
    <mergeCell ref="J108"/>
    <mergeCell ref="K108"/>
    <mergeCell ref="L108"/>
    <mergeCell ref="C109:D109"/>
    <mergeCell ref="E109"/>
    <mergeCell ref="F109"/>
    <mergeCell ref="G109"/>
    <mergeCell ref="H109"/>
    <mergeCell ref="I109"/>
    <mergeCell ref="J109"/>
    <mergeCell ref="K109"/>
    <mergeCell ref="L109"/>
    <mergeCell ref="C108:D108"/>
    <mergeCell ref="E108"/>
    <mergeCell ref="F108"/>
    <mergeCell ref="G108"/>
    <mergeCell ref="H108"/>
    <mergeCell ref="I110"/>
    <mergeCell ref="J110"/>
    <mergeCell ref="K110"/>
    <mergeCell ref="L110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C110:D110"/>
    <mergeCell ref="E110"/>
    <mergeCell ref="F110"/>
    <mergeCell ref="G110"/>
    <mergeCell ref="H110"/>
    <mergeCell ref="I112"/>
    <mergeCell ref="J112"/>
    <mergeCell ref="K112"/>
    <mergeCell ref="L112"/>
    <mergeCell ref="C113:D113"/>
    <mergeCell ref="E113"/>
    <mergeCell ref="F113"/>
    <mergeCell ref="G113"/>
    <mergeCell ref="H113"/>
    <mergeCell ref="I113"/>
    <mergeCell ref="J113"/>
    <mergeCell ref="K113"/>
    <mergeCell ref="L113"/>
    <mergeCell ref="C112:D112"/>
    <mergeCell ref="E112"/>
    <mergeCell ref="F112"/>
    <mergeCell ref="G112"/>
    <mergeCell ref="H112"/>
    <mergeCell ref="I114"/>
    <mergeCell ref="J114"/>
    <mergeCell ref="K114"/>
    <mergeCell ref="L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C114:D114"/>
    <mergeCell ref="E114"/>
    <mergeCell ref="F114"/>
    <mergeCell ref="G114"/>
    <mergeCell ref="H114"/>
  </mergeCells>
  <dataValidations count="700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E35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E41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E46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E53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E57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E61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E62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E65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E66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E67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E68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E69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E70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E71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E72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E73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E74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E75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E76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E77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E78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E79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E80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E81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E82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E83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E84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E85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E86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E87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E88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E89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E90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E91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E92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E93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E94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E95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E96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E97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E98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E99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E100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E101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E102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E103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E104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E105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E106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E107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E108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E109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E110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E111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E112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E113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E114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E115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showGridLines="0" tabSelected="1" topLeftCell="A10" zoomScaleNormal="100" zoomScaleSheetLayoutView="100" workbookViewId="0">
      <selection activeCell="C26" sqref="C26:L27"/>
    </sheetView>
  </sheetViews>
  <sheetFormatPr defaultRowHeight="15"/>
  <cols>
    <col min="1" max="1" width="9.140625" style="112" customWidth="1"/>
    <col min="2" max="2" width="1.5703125" style="112" customWidth="1"/>
    <col min="3" max="3" width="11.5703125" style="112" bestFit="1" customWidth="1"/>
    <col min="4" max="4" width="19.42578125" style="112" bestFit="1" customWidth="1"/>
    <col min="5" max="5" width="21" style="112" customWidth="1"/>
    <col min="6" max="6" width="11.85546875" style="112" customWidth="1"/>
    <col min="7" max="7" width="16.28515625" style="112" customWidth="1"/>
    <col min="8" max="8" width="15.5703125" style="112" customWidth="1"/>
    <col min="9" max="9" width="14.5703125" style="112" customWidth="1"/>
    <col min="10" max="10" width="14.7109375" style="112" customWidth="1"/>
    <col min="11" max="11" width="11.42578125" style="112" customWidth="1"/>
    <col min="12" max="12" width="15.140625" style="112" customWidth="1"/>
    <col min="13" max="16384" width="9.140625" style="112"/>
  </cols>
  <sheetData>
    <row r="2" spans="2:12" ht="5.0999999999999996" customHeight="1">
      <c r="B2" s="110" t="s">
        <v>795</v>
      </c>
      <c r="C2" s="111"/>
      <c r="D2" s="111"/>
      <c r="E2" s="111"/>
    </row>
    <row r="3" spans="2:12" hidden="1">
      <c r="B3" s="110" t="s">
        <v>8</v>
      </c>
      <c r="C3" s="111"/>
      <c r="D3" s="111"/>
      <c r="E3" s="111"/>
    </row>
    <row r="4" spans="2:12" hidden="1">
      <c r="B4" s="111"/>
      <c r="C4" s="111"/>
      <c r="D4" s="111"/>
      <c r="E4" s="111"/>
    </row>
    <row r="5" spans="2:12" hidden="1">
      <c r="B5" s="111"/>
      <c r="C5" s="111"/>
      <c r="D5" s="111"/>
      <c r="E5" s="111"/>
    </row>
    <row r="6" spans="2:12" hidden="1">
      <c r="B6" s="111"/>
      <c r="C6" s="111"/>
      <c r="D6" s="111"/>
      <c r="E6" s="111"/>
    </row>
    <row r="7" spans="2:12">
      <c r="B7" s="111"/>
      <c r="C7" s="113" t="str">
        <f>UPPER('[30]Data Umum'!D7)</f>
        <v/>
      </c>
      <c r="D7" s="113"/>
      <c r="E7" s="113"/>
      <c r="F7" s="113"/>
      <c r="G7" s="113"/>
      <c r="H7" s="113"/>
      <c r="I7" s="113"/>
      <c r="J7" s="113"/>
      <c r="K7" s="113"/>
      <c r="L7" s="113"/>
    </row>
    <row r="8" spans="2:12" ht="15" customHeight="1">
      <c r="B8" s="111"/>
      <c r="C8" s="113" t="s">
        <v>796</v>
      </c>
      <c r="D8" s="113"/>
      <c r="E8" s="113"/>
      <c r="F8" s="113"/>
      <c r="G8" s="113"/>
      <c r="H8" s="113"/>
      <c r="I8" s="113"/>
      <c r="J8" s="113"/>
      <c r="K8" s="113"/>
      <c r="L8" s="113"/>
    </row>
    <row r="9" spans="2:12" ht="15" customHeight="1">
      <c r="B9" s="111"/>
      <c r="C9" s="114" t="s">
        <v>797</v>
      </c>
      <c r="D9" s="114"/>
      <c r="E9" s="114"/>
      <c r="F9" s="114"/>
      <c r="G9" s="114"/>
      <c r="H9" s="114"/>
      <c r="I9" s="114"/>
      <c r="J9" s="114"/>
      <c r="K9" s="114"/>
      <c r="L9" s="114"/>
    </row>
    <row r="10" spans="2:12">
      <c r="B10" s="111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2:12">
      <c r="B11" s="111"/>
      <c r="C11" s="113" t="str">
        <f>""</f>
        <v/>
      </c>
      <c r="D11" s="113"/>
      <c r="E11" s="113"/>
      <c r="F11" s="113"/>
      <c r="G11" s="113"/>
      <c r="H11" s="113"/>
      <c r="I11" s="113"/>
      <c r="J11" s="113"/>
      <c r="K11" s="113"/>
      <c r="L11" s="113"/>
    </row>
    <row r="12" spans="2:12" ht="15" hidden="1" customHeight="1"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2:12">
      <c r="B13" s="111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2:12" ht="27.75" customHeight="1">
      <c r="B14" s="111"/>
      <c r="C14" s="115" t="s">
        <v>798</v>
      </c>
      <c r="D14" s="115"/>
      <c r="E14" s="115"/>
      <c r="F14" s="115"/>
      <c r="G14" s="115"/>
      <c r="H14" s="115"/>
      <c r="I14" s="115"/>
      <c r="J14" s="115"/>
      <c r="K14" s="115"/>
      <c r="L14" s="115"/>
    </row>
    <row r="15" spans="2:12" ht="24" customHeight="1">
      <c r="B15" s="111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12" ht="75.75" customHeight="1">
      <c r="B16" s="111"/>
      <c r="C16" s="116" t="s">
        <v>799</v>
      </c>
      <c r="D16" s="116" t="s">
        <v>800</v>
      </c>
      <c r="E16" s="116" t="s">
        <v>801</v>
      </c>
      <c r="F16" s="116" t="s">
        <v>802</v>
      </c>
      <c r="G16" s="116" t="s">
        <v>803</v>
      </c>
      <c r="H16" s="116" t="s">
        <v>804</v>
      </c>
      <c r="I16" s="116" t="s">
        <v>805</v>
      </c>
      <c r="J16" s="116" t="s">
        <v>806</v>
      </c>
      <c r="K16" s="116" t="s">
        <v>807</v>
      </c>
      <c r="L16" s="116" t="s">
        <v>808</v>
      </c>
    </row>
    <row r="17" spans="1:12">
      <c r="B17" s="111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20.25" customHeight="1">
      <c r="B18" s="111"/>
      <c r="C18" s="115" t="s">
        <v>809</v>
      </c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ht="28.5" customHeight="1">
      <c r="B19" s="111"/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 ht="63">
      <c r="B20" s="111"/>
      <c r="C20" s="116" t="s">
        <v>799</v>
      </c>
      <c r="D20" s="116" t="s">
        <v>810</v>
      </c>
      <c r="E20" s="116" t="s">
        <v>811</v>
      </c>
      <c r="F20" s="116" t="s">
        <v>801</v>
      </c>
      <c r="G20" s="116" t="s">
        <v>802</v>
      </c>
      <c r="H20" s="116" t="s">
        <v>803</v>
      </c>
      <c r="I20" s="116" t="s">
        <v>804</v>
      </c>
      <c r="J20" s="116" t="s">
        <v>805</v>
      </c>
      <c r="K20" s="116" t="s">
        <v>806</v>
      </c>
      <c r="L20" s="116" t="s">
        <v>807</v>
      </c>
    </row>
    <row r="21" spans="1:12">
      <c r="B21" s="111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20.25" customHeight="1">
      <c r="B22" s="111"/>
      <c r="C22" s="115" t="s">
        <v>812</v>
      </c>
      <c r="D22" s="115"/>
      <c r="E22" s="115"/>
      <c r="F22" s="115"/>
      <c r="G22" s="115"/>
      <c r="H22" s="115"/>
      <c r="I22" s="115"/>
      <c r="J22" s="115"/>
      <c r="K22" s="115"/>
      <c r="L22" s="115"/>
    </row>
    <row r="23" spans="1:12" ht="24" customHeight="1">
      <c r="B23" s="111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2" ht="63">
      <c r="B24" s="111"/>
      <c r="C24" s="116" t="s">
        <v>799</v>
      </c>
      <c r="D24" s="116" t="s">
        <v>800</v>
      </c>
      <c r="E24" s="116" t="s">
        <v>801</v>
      </c>
      <c r="F24" s="116" t="s">
        <v>802</v>
      </c>
      <c r="G24" s="116" t="s">
        <v>803</v>
      </c>
      <c r="H24" s="116" t="s">
        <v>804</v>
      </c>
      <c r="I24" s="116" t="s">
        <v>805</v>
      </c>
      <c r="J24" s="116" t="s">
        <v>806</v>
      </c>
      <c r="K24" s="116" t="s">
        <v>807</v>
      </c>
      <c r="L24" s="116" t="s">
        <v>808</v>
      </c>
    </row>
    <row r="25" spans="1:12">
      <c r="B25" s="111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ht="20.25" customHeight="1">
      <c r="B26" s="111"/>
      <c r="C26" s="115" t="s">
        <v>798</v>
      </c>
      <c r="D26" s="118"/>
      <c r="E26" s="118"/>
      <c r="F26" s="118"/>
      <c r="G26" s="118"/>
      <c r="H26" s="118"/>
      <c r="I26" s="118"/>
      <c r="J26" s="118"/>
      <c r="K26" s="118"/>
      <c r="L26" s="119"/>
    </row>
    <row r="27" spans="1:12" ht="24" customHeight="1">
      <c r="B27" s="111"/>
      <c r="C27" s="120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2" ht="63">
      <c r="B28" s="111"/>
      <c r="C28" s="116" t="s">
        <v>799</v>
      </c>
      <c r="D28" s="116" t="s">
        <v>800</v>
      </c>
      <c r="E28" s="116" t="s">
        <v>801</v>
      </c>
      <c r="F28" s="116" t="s">
        <v>802</v>
      </c>
      <c r="G28" s="116" t="s">
        <v>803</v>
      </c>
      <c r="H28" s="116" t="s">
        <v>804</v>
      </c>
      <c r="I28" s="116" t="s">
        <v>805</v>
      </c>
      <c r="J28" s="116" t="s">
        <v>806</v>
      </c>
      <c r="K28" s="116" t="s">
        <v>807</v>
      </c>
      <c r="L28" s="116" t="s">
        <v>808</v>
      </c>
    </row>
    <row r="29" spans="1:12">
      <c r="B29" s="111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2" s="125" customFormat="1">
      <c r="A30" s="123" t="s">
        <v>225</v>
      </c>
      <c r="B30" s="124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</sheetData>
  <sheetProtection formatColumns="0" formatRows="0" insertRows="0" deleteRows="0" selectLockedCells="1"/>
  <mergeCells count="11">
    <mergeCell ref="C13:L13"/>
    <mergeCell ref="C14:L15"/>
    <mergeCell ref="C18:L19"/>
    <mergeCell ref="C22:L23"/>
    <mergeCell ref="C26:L27"/>
    <mergeCell ref="C7:L7"/>
    <mergeCell ref="C8:L8"/>
    <mergeCell ref="C9:L9"/>
    <mergeCell ref="C10:L10"/>
    <mergeCell ref="C11:L11"/>
    <mergeCell ref="C12:L12"/>
  </mergeCells>
  <printOptions horizontalCentered="1"/>
  <pageMargins left="0.7" right="0.7" top="0.75" bottom="0.75" header="0.3" footer="0.3"/>
  <pageSetup paperSize="150" scale="4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showGridLines="0" view="pageBreakPreview" zoomScaleNormal="100" zoomScaleSheetLayoutView="100" zoomScalePageLayoutView="70" workbookViewId="0">
      <selection activeCell="C27" sqref="C27:D27"/>
    </sheetView>
  </sheetViews>
  <sheetFormatPr defaultColWidth="9.140625" defaultRowHeight="14.25"/>
  <cols>
    <col min="1" max="3" width="3.140625" style="58" customWidth="1"/>
    <col min="4" max="8" width="20.7109375" style="58" customWidth="1"/>
    <col min="9" max="9" width="3.140625" style="58" customWidth="1"/>
    <col min="10" max="16384" width="9.140625" style="58"/>
  </cols>
  <sheetData>
    <row r="1" spans="2:11">
      <c r="H1" s="59"/>
      <c r="I1" s="60"/>
    </row>
    <row r="2" spans="2:11" ht="15">
      <c r="B2" s="61" t="s">
        <v>752</v>
      </c>
      <c r="C2" s="61"/>
      <c r="D2" s="61"/>
      <c r="E2" s="61"/>
      <c r="F2" s="61"/>
      <c r="G2" s="61"/>
      <c r="H2" s="61"/>
      <c r="I2" s="62"/>
      <c r="J2" s="62"/>
      <c r="K2" s="62"/>
    </row>
    <row r="3" spans="2:11" ht="15">
      <c r="B3" s="61" t="s">
        <v>753</v>
      </c>
      <c r="C3" s="61"/>
      <c r="D3" s="61"/>
      <c r="E3" s="61"/>
      <c r="F3" s="61"/>
      <c r="G3" s="61"/>
      <c r="H3" s="61"/>
      <c r="I3" s="62"/>
      <c r="J3" s="62"/>
      <c r="K3" s="62"/>
    </row>
    <row r="4" spans="2:11" ht="15">
      <c r="B4" s="62"/>
      <c r="D4" s="63" t="s">
        <v>754</v>
      </c>
      <c r="E4" s="64">
        <v>43100</v>
      </c>
      <c r="F4" s="63" t="s">
        <v>755</v>
      </c>
      <c r="G4" s="65" t="s">
        <v>756</v>
      </c>
      <c r="I4" s="62"/>
      <c r="J4" s="62"/>
      <c r="K4" s="62"/>
    </row>
    <row r="5" spans="2:11" ht="15" customHeight="1">
      <c r="B5" s="66" t="s">
        <v>757</v>
      </c>
      <c r="C5" s="67"/>
      <c r="D5" s="67"/>
      <c r="E5" s="67"/>
      <c r="F5" s="67"/>
      <c r="G5" s="67"/>
      <c r="H5" s="67"/>
      <c r="I5" s="62"/>
      <c r="J5" s="62"/>
      <c r="K5" s="62"/>
    </row>
    <row r="6" spans="2:11" ht="15">
      <c r="G6" s="68"/>
    </row>
    <row r="7" spans="2:11" ht="14.25" customHeight="1">
      <c r="B7" s="69" t="s">
        <v>758</v>
      </c>
      <c r="C7" s="69"/>
      <c r="D7" s="69"/>
      <c r="E7" s="69"/>
      <c r="F7" s="69"/>
      <c r="G7" s="69"/>
      <c r="H7" s="69"/>
    </row>
    <row r="8" spans="2:11">
      <c r="B8" s="70"/>
      <c r="C8" s="70"/>
      <c r="D8" s="70"/>
      <c r="E8" s="70"/>
      <c r="F8" s="70"/>
      <c r="G8" s="70"/>
      <c r="H8" s="70"/>
    </row>
    <row r="9" spans="2:11" ht="14.25" customHeight="1">
      <c r="B9" s="58" t="s">
        <v>759</v>
      </c>
      <c r="C9" s="69" t="s">
        <v>760</v>
      </c>
      <c r="D9" s="69"/>
      <c r="E9" s="69"/>
      <c r="F9" s="69"/>
      <c r="G9" s="69"/>
      <c r="H9" s="69"/>
    </row>
    <row r="10" spans="2:11" ht="15">
      <c r="B10" s="71"/>
      <c r="C10" s="72" t="s">
        <v>757</v>
      </c>
      <c r="D10" s="72"/>
      <c r="E10" s="72"/>
      <c r="F10" s="72"/>
      <c r="G10" s="72"/>
      <c r="H10" s="72"/>
    </row>
    <row r="11" spans="2:11">
      <c r="B11" s="71" t="s">
        <v>761</v>
      </c>
      <c r="C11" s="69" t="s">
        <v>762</v>
      </c>
      <c r="D11" s="73"/>
      <c r="E11" s="73"/>
      <c r="F11" s="73"/>
      <c r="G11" s="73"/>
      <c r="H11" s="73"/>
    </row>
    <row r="12" spans="2:11">
      <c r="B12" s="71"/>
      <c r="C12" s="73" t="s">
        <v>763</v>
      </c>
      <c r="D12" s="73"/>
      <c r="E12" s="73"/>
      <c r="F12" s="73"/>
      <c r="G12" s="73"/>
      <c r="H12" s="73"/>
    </row>
    <row r="13" spans="2:11">
      <c r="B13" s="71" t="s">
        <v>764</v>
      </c>
      <c r="C13" s="73" t="s">
        <v>765</v>
      </c>
      <c r="D13" s="73"/>
      <c r="E13" s="73"/>
      <c r="F13" s="73"/>
      <c r="G13" s="73"/>
      <c r="H13" s="73"/>
    </row>
    <row r="14" spans="2:11">
      <c r="B14" s="71"/>
      <c r="C14" s="73" t="s">
        <v>766</v>
      </c>
      <c r="D14" s="73"/>
      <c r="E14" s="73"/>
      <c r="F14" s="73"/>
      <c r="G14" s="73"/>
      <c r="H14" s="73"/>
    </row>
    <row r="15" spans="2:11">
      <c r="B15" s="71"/>
      <c r="C15" s="71"/>
      <c r="D15" s="71"/>
      <c r="E15" s="71"/>
      <c r="F15" s="71"/>
      <c r="G15" s="71"/>
      <c r="H15" s="71"/>
    </row>
    <row r="16" spans="2:11">
      <c r="B16" s="73" t="s">
        <v>767</v>
      </c>
      <c r="C16" s="73"/>
      <c r="D16" s="73"/>
      <c r="E16" s="73"/>
      <c r="F16" s="73"/>
      <c r="G16" s="73"/>
      <c r="H16" s="73"/>
    </row>
    <row r="17" spans="2:9">
      <c r="B17" s="71"/>
      <c r="C17" s="71"/>
      <c r="D17" s="71"/>
      <c r="E17" s="71"/>
      <c r="F17" s="71"/>
      <c r="G17" s="74" t="s">
        <v>768</v>
      </c>
      <c r="H17" s="75"/>
    </row>
    <row r="18" spans="2:9">
      <c r="B18" s="76"/>
      <c r="C18" s="76"/>
      <c r="G18" s="77" t="s">
        <v>757</v>
      </c>
      <c r="H18" s="78"/>
    </row>
    <row r="19" spans="2:9">
      <c r="B19" s="76"/>
      <c r="C19" s="76"/>
      <c r="G19" s="79"/>
      <c r="H19" s="79"/>
      <c r="I19" s="80"/>
    </row>
    <row r="20" spans="2:9">
      <c r="B20" s="76"/>
      <c r="C20" s="76"/>
      <c r="G20" s="79"/>
      <c r="H20" s="79"/>
      <c r="I20" s="80"/>
    </row>
    <row r="21" spans="2:9">
      <c r="B21" s="76"/>
      <c r="C21" s="76"/>
      <c r="G21" s="79"/>
      <c r="H21" s="79"/>
    </row>
    <row r="22" spans="2:9">
      <c r="B22" s="76"/>
      <c r="C22" s="76"/>
      <c r="G22" s="74" t="s">
        <v>769</v>
      </c>
      <c r="H22" s="75"/>
    </row>
    <row r="23" spans="2:9">
      <c r="B23" s="76"/>
      <c r="C23" s="76"/>
      <c r="G23" s="77" t="s">
        <v>770</v>
      </c>
      <c r="H23" s="78"/>
    </row>
    <row r="24" spans="2:9">
      <c r="C24" s="76"/>
    </row>
    <row r="25" spans="2:9">
      <c r="B25" s="58" t="s">
        <v>771</v>
      </c>
      <c r="C25" s="76"/>
      <c r="D25" s="67" t="s">
        <v>772</v>
      </c>
      <c r="E25" s="67"/>
      <c r="F25" s="58" t="s">
        <v>773</v>
      </c>
      <c r="G25" s="67" t="s">
        <v>774</v>
      </c>
      <c r="H25" s="67"/>
    </row>
    <row r="26" spans="2:9">
      <c r="B26" s="58" t="s">
        <v>775</v>
      </c>
      <c r="C26" s="76"/>
    </row>
    <row r="27" spans="2:9">
      <c r="C27" s="76"/>
    </row>
    <row r="28" spans="2:9" ht="15">
      <c r="B28" s="76" t="s">
        <v>759</v>
      </c>
      <c r="C28" s="81" t="s">
        <v>757</v>
      </c>
      <c r="D28" s="82"/>
      <c r="E28" s="82"/>
      <c r="F28" s="82"/>
      <c r="G28" s="58" t="s">
        <v>776</v>
      </c>
    </row>
    <row r="29" spans="2:9" ht="14.25" customHeight="1">
      <c r="C29" s="71" t="s">
        <v>777</v>
      </c>
      <c r="D29" s="71"/>
      <c r="E29" s="71"/>
      <c r="F29" s="71"/>
      <c r="G29" s="71"/>
      <c r="H29" s="71"/>
    </row>
    <row r="30" spans="2:9">
      <c r="B30" s="83" t="s">
        <v>761</v>
      </c>
      <c r="C30" s="58" t="s">
        <v>778</v>
      </c>
    </row>
    <row r="31" spans="2:9">
      <c r="C31" s="71" t="s">
        <v>779</v>
      </c>
      <c r="D31" s="71"/>
      <c r="E31" s="71"/>
      <c r="F31" s="71"/>
      <c r="G31" s="71"/>
      <c r="H31" s="71"/>
    </row>
    <row r="32" spans="2:9">
      <c r="C32" s="71" t="s">
        <v>780</v>
      </c>
      <c r="D32" s="71"/>
      <c r="E32" s="71"/>
      <c r="F32" s="71"/>
      <c r="G32" s="71"/>
      <c r="H32" s="71"/>
    </row>
    <row r="33" spans="2:8">
      <c r="B33" s="84"/>
      <c r="C33" s="84"/>
      <c r="D33" s="84"/>
      <c r="E33" s="84"/>
      <c r="F33" s="84"/>
      <c r="G33" s="84"/>
      <c r="H33" s="84"/>
    </row>
    <row r="34" spans="2:8">
      <c r="B34" s="84" t="s">
        <v>767</v>
      </c>
      <c r="C34" s="84"/>
      <c r="D34" s="84"/>
      <c r="E34" s="84"/>
      <c r="F34" s="84"/>
      <c r="G34" s="84"/>
      <c r="H34" s="84"/>
    </row>
    <row r="35" spans="2:8">
      <c r="G35" s="74" t="s">
        <v>768</v>
      </c>
      <c r="H35" s="75"/>
    </row>
    <row r="39" spans="2:8">
      <c r="G39" s="66" t="str">
        <f>D25</f>
        <v>"Nama Aktuaris"</v>
      </c>
      <c r="H39" s="66"/>
    </row>
    <row r="40" spans="2:8">
      <c r="G40" s="66" t="str">
        <f>G25</f>
        <v>"No Reg PAI"</v>
      </c>
      <c r="H40" s="66"/>
    </row>
    <row r="44" spans="2:8">
      <c r="B44" s="58" t="s">
        <v>781</v>
      </c>
    </row>
  </sheetData>
  <mergeCells count="23">
    <mergeCell ref="B33:H33"/>
    <mergeCell ref="B34:H34"/>
    <mergeCell ref="G35:H35"/>
    <mergeCell ref="G39:H39"/>
    <mergeCell ref="G40:H40"/>
    <mergeCell ref="G17:H17"/>
    <mergeCell ref="G18:H18"/>
    <mergeCell ref="G22:H22"/>
    <mergeCell ref="G23:H23"/>
    <mergeCell ref="D25:E25"/>
    <mergeCell ref="G25:H25"/>
    <mergeCell ref="C10:H10"/>
    <mergeCell ref="C11:H11"/>
    <mergeCell ref="C12:H12"/>
    <mergeCell ref="C13:H13"/>
    <mergeCell ref="C14:H14"/>
    <mergeCell ref="B16:H16"/>
    <mergeCell ref="B2:H2"/>
    <mergeCell ref="B3:H3"/>
    <mergeCell ref="B5:H5"/>
    <mergeCell ref="B7:H7"/>
    <mergeCell ref="B8:H8"/>
    <mergeCell ref="C9:H9"/>
  </mergeCells>
  <printOptions horizontalCentered="1"/>
  <pageMargins left="0.98425196850393704" right="0.98425196850393704" top="1.1811023622047245" bottom="0.98425196850393704" header="0.31496062992125984" footer="0.31496062992125984"/>
  <pageSetup paperSize="226" scale="2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showGridLines="0" zoomScaleNormal="100" zoomScaleSheetLayoutView="100" workbookViewId="0">
      <selection activeCell="F28" sqref="F28"/>
    </sheetView>
  </sheetViews>
  <sheetFormatPr defaultRowHeight="15"/>
  <cols>
    <col min="1" max="1" width="9.140625" style="112" customWidth="1"/>
    <col min="2" max="2" width="1.5703125" style="112" customWidth="1"/>
    <col min="3" max="3" width="13.42578125" style="112" customWidth="1"/>
    <col min="4" max="4" width="19.42578125" style="112" bestFit="1" customWidth="1"/>
    <col min="5" max="5" width="21" style="112" customWidth="1"/>
    <col min="6" max="6" width="14.5703125" style="112" bestFit="1" customWidth="1"/>
    <col min="7" max="7" width="1.5703125" style="112" customWidth="1"/>
    <col min="8" max="16384" width="9.140625" style="112"/>
  </cols>
  <sheetData>
    <row r="2" spans="2:7" ht="5.0999999999999996" customHeight="1">
      <c r="B2" s="110" t="s">
        <v>795</v>
      </c>
      <c r="C2" s="111"/>
      <c r="D2" s="111"/>
      <c r="E2" s="111"/>
      <c r="F2" s="111"/>
      <c r="G2" s="110" t="s">
        <v>795</v>
      </c>
    </row>
    <row r="3" spans="2:7" hidden="1">
      <c r="B3" s="110" t="s">
        <v>8</v>
      </c>
      <c r="C3" s="111"/>
      <c r="D3" s="111"/>
      <c r="E3" s="111"/>
      <c r="G3" s="110" t="s">
        <v>8</v>
      </c>
    </row>
    <row r="4" spans="2:7" hidden="1">
      <c r="B4" s="111"/>
      <c r="C4" s="111"/>
      <c r="D4" s="111"/>
      <c r="E4" s="111"/>
      <c r="G4" s="111"/>
    </row>
    <row r="5" spans="2:7" hidden="1">
      <c r="B5" s="111"/>
      <c r="C5" s="111"/>
      <c r="D5" s="111"/>
      <c r="E5" s="111"/>
      <c r="G5" s="111"/>
    </row>
    <row r="6" spans="2:7" hidden="1">
      <c r="B6" s="111"/>
      <c r="C6" s="111"/>
      <c r="D6" s="111"/>
      <c r="E6" s="111"/>
      <c r="G6" s="111"/>
    </row>
    <row r="7" spans="2:7">
      <c r="B7" s="111"/>
      <c r="C7" s="113" t="str">
        <f>UPPER('[30]Data Umum'!D7)</f>
        <v/>
      </c>
      <c r="D7" s="113"/>
      <c r="E7" s="113"/>
      <c r="F7" s="113"/>
      <c r="G7" s="111"/>
    </row>
    <row r="8" spans="2:7" ht="15" customHeight="1">
      <c r="B8" s="111"/>
      <c r="C8" s="113" t="s">
        <v>796</v>
      </c>
      <c r="D8" s="113"/>
      <c r="E8" s="113"/>
      <c r="F8" s="113"/>
      <c r="G8" s="111"/>
    </row>
    <row r="9" spans="2:7" ht="15" customHeight="1">
      <c r="B9" s="111"/>
      <c r="C9" s="114" t="s">
        <v>813</v>
      </c>
      <c r="D9" s="114"/>
      <c r="E9" s="114"/>
      <c r="F9" s="114"/>
      <c r="G9" s="111"/>
    </row>
    <row r="10" spans="2:7">
      <c r="B10" s="111"/>
      <c r="C10" s="113"/>
      <c r="D10" s="113"/>
      <c r="E10" s="113"/>
      <c r="F10" s="113"/>
      <c r="G10" s="111"/>
    </row>
    <row r="11" spans="2:7">
      <c r="B11" s="111"/>
      <c r="C11" s="113" t="str">
        <f>""</f>
        <v/>
      </c>
      <c r="D11" s="113"/>
      <c r="E11" s="113"/>
      <c r="F11" s="113"/>
      <c r="G11" s="111"/>
    </row>
    <row r="12" spans="2:7" ht="15" hidden="1" customHeight="1">
      <c r="B12" s="111"/>
      <c r="C12" s="113"/>
      <c r="D12" s="113"/>
      <c r="E12" s="113"/>
      <c r="F12" s="113"/>
      <c r="G12" s="111"/>
    </row>
    <row r="13" spans="2:7">
      <c r="B13" s="111"/>
      <c r="C13" s="113"/>
      <c r="D13" s="113"/>
      <c r="E13" s="113"/>
      <c r="F13" s="113"/>
      <c r="G13" s="111"/>
    </row>
    <row r="14" spans="2:7" ht="75.75" customHeight="1">
      <c r="B14" s="111"/>
      <c r="C14" s="116" t="s">
        <v>102</v>
      </c>
      <c r="D14" s="116" t="s">
        <v>814</v>
      </c>
      <c r="E14" s="116" t="s">
        <v>815</v>
      </c>
      <c r="F14" s="116" t="s">
        <v>816</v>
      </c>
      <c r="G14" s="111"/>
    </row>
    <row r="15" spans="2:7" ht="15" customHeight="1">
      <c r="B15" s="111"/>
      <c r="C15" s="126" t="s">
        <v>817</v>
      </c>
      <c r="D15" s="127" t="s">
        <v>818</v>
      </c>
      <c r="E15" s="127" t="s">
        <v>818</v>
      </c>
      <c r="F15" s="128" t="s">
        <v>818</v>
      </c>
      <c r="G15" s="111"/>
    </row>
    <row r="16" spans="2:7">
      <c r="B16" s="111"/>
      <c r="C16" s="129"/>
      <c r="D16" s="130"/>
      <c r="E16" s="130"/>
      <c r="F16" s="128" t="s">
        <v>818</v>
      </c>
      <c r="G16" s="111"/>
    </row>
    <row r="17" spans="1:8">
      <c r="B17" s="111"/>
      <c r="C17" s="129"/>
      <c r="D17" s="127" t="s">
        <v>818</v>
      </c>
      <c r="E17" s="128" t="s">
        <v>818</v>
      </c>
      <c r="F17" s="117"/>
      <c r="G17" s="111"/>
    </row>
    <row r="18" spans="1:8" ht="17.25" customHeight="1">
      <c r="B18" s="111"/>
      <c r="C18" s="129"/>
      <c r="D18" s="130"/>
      <c r="E18" s="128" t="s">
        <v>818</v>
      </c>
      <c r="F18" s="116"/>
      <c r="G18" s="111"/>
    </row>
    <row r="19" spans="1:8" ht="17.25" customHeight="1">
      <c r="B19" s="111"/>
      <c r="C19" s="129"/>
      <c r="D19" s="127" t="s">
        <v>818</v>
      </c>
      <c r="E19" s="127" t="s">
        <v>818</v>
      </c>
      <c r="F19" s="128" t="s">
        <v>818</v>
      </c>
      <c r="G19" s="111"/>
    </row>
    <row r="20" spans="1:8" ht="17.25" customHeight="1">
      <c r="B20" s="111"/>
      <c r="C20" s="129"/>
      <c r="D20" s="131"/>
      <c r="E20" s="130"/>
      <c r="F20" s="128" t="s">
        <v>818</v>
      </c>
      <c r="G20" s="111"/>
    </row>
    <row r="21" spans="1:8">
      <c r="B21" s="111"/>
      <c r="C21" s="132"/>
      <c r="D21" s="130"/>
      <c r="E21" s="128" t="s">
        <v>818</v>
      </c>
      <c r="F21" s="117"/>
      <c r="G21" s="111"/>
      <c r="H21" s="133" t="s">
        <v>819</v>
      </c>
    </row>
    <row r="22" spans="1:8" s="125" customFormat="1">
      <c r="A22" s="112"/>
      <c r="B22" s="124"/>
      <c r="C22" s="111"/>
      <c r="D22" s="111"/>
      <c r="E22" s="111"/>
      <c r="F22" s="111"/>
      <c r="G22" s="124"/>
    </row>
  </sheetData>
  <sheetProtection formatColumns="0" formatRows="0" insertRows="0" deleteRows="0" selectLockedCells="1"/>
  <mergeCells count="13">
    <mergeCell ref="C13:F13"/>
    <mergeCell ref="C15:C21"/>
    <mergeCell ref="D15:D16"/>
    <mergeCell ref="E15:E16"/>
    <mergeCell ref="D17:D18"/>
    <mergeCell ref="D19:D21"/>
    <mergeCell ref="E19:E20"/>
    <mergeCell ref="C7:F7"/>
    <mergeCell ref="C8:F8"/>
    <mergeCell ref="C9:F9"/>
    <mergeCell ref="C10:F10"/>
    <mergeCell ref="C11:F11"/>
    <mergeCell ref="C12:F12"/>
  </mergeCells>
  <printOptions horizontalCentered="1"/>
  <pageMargins left="0.7" right="0.7" top="0.75" bottom="0.75" header="0.3" footer="0.3"/>
  <pageSetup paperSize="150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view="pageBreakPreview" topLeftCell="A9" zoomScale="85" zoomScaleNormal="100" zoomScaleSheetLayoutView="85" zoomScalePageLayoutView="70" workbookViewId="0">
      <selection activeCell="C27" sqref="C27:D27"/>
    </sheetView>
  </sheetViews>
  <sheetFormatPr defaultColWidth="9.140625" defaultRowHeight="14.25"/>
  <cols>
    <col min="1" max="3" width="3.140625" style="58" customWidth="1"/>
    <col min="4" max="8" width="20.7109375" style="58" customWidth="1"/>
    <col min="9" max="9" width="3.140625" style="58" customWidth="1"/>
    <col min="10" max="16384" width="9.140625" style="58"/>
  </cols>
  <sheetData>
    <row r="1" spans="2:11">
      <c r="H1" s="59"/>
      <c r="I1" s="60"/>
    </row>
    <row r="2" spans="2:11" ht="15">
      <c r="B2" s="61" t="s">
        <v>752</v>
      </c>
      <c r="C2" s="61"/>
      <c r="D2" s="61"/>
      <c r="E2" s="61"/>
      <c r="F2" s="61"/>
      <c r="G2" s="61"/>
      <c r="H2" s="61"/>
      <c r="I2" s="62"/>
      <c r="J2" s="62"/>
      <c r="K2" s="62"/>
    </row>
    <row r="3" spans="2:11" ht="15">
      <c r="B3" s="61" t="s">
        <v>753</v>
      </c>
      <c r="C3" s="61"/>
      <c r="D3" s="61"/>
      <c r="E3" s="61"/>
      <c r="F3" s="61"/>
      <c r="G3" s="61"/>
      <c r="H3" s="61"/>
      <c r="I3" s="62"/>
      <c r="J3" s="62"/>
      <c r="K3" s="62"/>
    </row>
    <row r="4" spans="2:11" ht="15">
      <c r="B4" s="62"/>
      <c r="D4" s="63" t="s">
        <v>754</v>
      </c>
      <c r="E4" s="64" t="s">
        <v>782</v>
      </c>
      <c r="F4" s="63" t="s">
        <v>783</v>
      </c>
      <c r="G4" s="65" t="s">
        <v>756</v>
      </c>
      <c r="I4" s="62"/>
      <c r="J4" s="62"/>
      <c r="K4" s="62"/>
    </row>
    <row r="5" spans="2:11" ht="15" customHeight="1">
      <c r="B5" s="85" t="s">
        <v>757</v>
      </c>
      <c r="C5" s="86"/>
      <c r="D5" s="86"/>
      <c r="E5" s="86"/>
      <c r="F5" s="86"/>
      <c r="G5" s="86"/>
      <c r="H5" s="86"/>
      <c r="I5" s="62"/>
      <c r="J5" s="62"/>
      <c r="K5" s="62"/>
    </row>
    <row r="6" spans="2:11" ht="15">
      <c r="G6" s="68"/>
    </row>
    <row r="7" spans="2:11" ht="14.25" customHeight="1">
      <c r="B7" s="69" t="s">
        <v>758</v>
      </c>
      <c r="C7" s="69"/>
      <c r="D7" s="69"/>
      <c r="E7" s="69"/>
      <c r="F7" s="69"/>
      <c r="G7" s="69"/>
      <c r="H7" s="69"/>
    </row>
    <row r="8" spans="2:11">
      <c r="B8" s="70"/>
      <c r="C8" s="70"/>
      <c r="D8" s="70"/>
      <c r="E8" s="70"/>
      <c r="F8" s="70"/>
      <c r="G8" s="70"/>
      <c r="H8" s="70"/>
    </row>
    <row r="9" spans="2:11" ht="14.25" customHeight="1">
      <c r="B9" s="58" t="s">
        <v>759</v>
      </c>
      <c r="C9" s="69" t="s">
        <v>760</v>
      </c>
      <c r="D9" s="69"/>
      <c r="E9" s="69"/>
      <c r="F9" s="69"/>
      <c r="G9" s="69"/>
      <c r="H9" s="69"/>
    </row>
    <row r="10" spans="2:11" ht="15">
      <c r="B10" s="71"/>
      <c r="C10" s="72" t="s">
        <v>757</v>
      </c>
      <c r="D10" s="72"/>
      <c r="E10" s="72"/>
      <c r="F10" s="72"/>
      <c r="G10" s="72"/>
      <c r="H10" s="72"/>
    </row>
    <row r="11" spans="2:11">
      <c r="B11" s="71" t="s">
        <v>761</v>
      </c>
      <c r="C11" s="69" t="s">
        <v>762</v>
      </c>
      <c r="D11" s="73"/>
      <c r="E11" s="73"/>
      <c r="F11" s="73"/>
      <c r="G11" s="73"/>
      <c r="H11" s="73"/>
    </row>
    <row r="12" spans="2:11">
      <c r="B12" s="71"/>
      <c r="C12" s="73" t="s">
        <v>763</v>
      </c>
      <c r="D12" s="73"/>
      <c r="E12" s="73"/>
      <c r="F12" s="73"/>
      <c r="G12" s="73"/>
      <c r="H12" s="73"/>
    </row>
    <row r="13" spans="2:11">
      <c r="B13" s="71" t="s">
        <v>764</v>
      </c>
      <c r="C13" s="73" t="s">
        <v>765</v>
      </c>
      <c r="D13" s="73"/>
      <c r="E13" s="73"/>
      <c r="F13" s="73"/>
      <c r="G13" s="73"/>
      <c r="H13" s="73"/>
    </row>
    <row r="14" spans="2:11">
      <c r="B14" s="71"/>
      <c r="C14" s="73" t="s">
        <v>766</v>
      </c>
      <c r="D14" s="73"/>
      <c r="E14" s="73"/>
      <c r="F14" s="73"/>
      <c r="G14" s="73"/>
      <c r="H14" s="73"/>
    </row>
    <row r="15" spans="2:11">
      <c r="B15" s="71"/>
      <c r="C15" s="71"/>
      <c r="D15" s="71"/>
      <c r="E15" s="71"/>
      <c r="F15" s="71"/>
      <c r="G15" s="71"/>
      <c r="H15" s="71"/>
    </row>
    <row r="16" spans="2:11">
      <c r="B16" s="73" t="s">
        <v>767</v>
      </c>
      <c r="C16" s="73"/>
      <c r="D16" s="73"/>
      <c r="E16" s="73"/>
      <c r="F16" s="73"/>
      <c r="G16" s="73"/>
      <c r="H16" s="73"/>
    </row>
    <row r="17" spans="1:9">
      <c r="B17" s="71"/>
      <c r="C17" s="71"/>
      <c r="D17" s="71"/>
      <c r="E17" s="71"/>
      <c r="F17" s="71"/>
      <c r="G17" s="74" t="s">
        <v>768</v>
      </c>
      <c r="H17" s="75"/>
    </row>
    <row r="18" spans="1:9">
      <c r="B18" s="76"/>
      <c r="C18" s="76"/>
      <c r="G18" s="77" t="s">
        <v>757</v>
      </c>
      <c r="H18" s="78"/>
    </row>
    <row r="19" spans="1:9">
      <c r="B19" s="76"/>
      <c r="C19" s="76"/>
      <c r="G19" s="79"/>
      <c r="H19" s="79"/>
      <c r="I19" s="80"/>
    </row>
    <row r="20" spans="1:9">
      <c r="B20" s="76"/>
      <c r="C20" s="76"/>
      <c r="G20" s="79"/>
      <c r="H20" s="79"/>
      <c r="I20" s="80"/>
    </row>
    <row r="21" spans="1:9">
      <c r="B21" s="76"/>
      <c r="C21" s="76"/>
      <c r="G21" s="79"/>
      <c r="H21" s="79"/>
    </row>
    <row r="22" spans="1:9">
      <c r="B22" s="76"/>
      <c r="C22" s="76"/>
      <c r="G22" s="74" t="s">
        <v>769</v>
      </c>
      <c r="H22" s="75"/>
    </row>
    <row r="23" spans="1:9">
      <c r="B23" s="76"/>
      <c r="C23" s="76"/>
      <c r="G23" s="77" t="s">
        <v>770</v>
      </c>
      <c r="H23" s="78"/>
    </row>
    <row r="24" spans="1:9">
      <c r="C24" s="76"/>
    </row>
    <row r="25" spans="1:9" ht="1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5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5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14.25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5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15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15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5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15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15">
      <c r="A35" s="87"/>
      <c r="B35" s="87"/>
      <c r="C35" s="87"/>
      <c r="D35" s="87"/>
      <c r="E35" s="87"/>
      <c r="F35" s="87"/>
      <c r="G35" s="87"/>
      <c r="H35" s="87"/>
      <c r="I35" s="87"/>
    </row>
    <row r="36" spans="1:9" ht="15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5">
      <c r="A37" s="87"/>
      <c r="B37" s="87"/>
      <c r="C37" s="87"/>
      <c r="D37" s="87"/>
      <c r="E37" s="87"/>
      <c r="F37" s="87"/>
      <c r="G37" s="87"/>
      <c r="H37" s="87"/>
      <c r="I37" s="87"/>
    </row>
    <row r="38" spans="1:9" ht="15">
      <c r="A38" s="87"/>
      <c r="B38" s="87" t="s">
        <v>784</v>
      </c>
      <c r="C38" s="87"/>
      <c r="D38" s="87"/>
      <c r="E38" s="87"/>
      <c r="F38" s="87"/>
      <c r="G38" s="87"/>
      <c r="H38" s="87"/>
      <c r="I38" s="87"/>
    </row>
    <row r="39" spans="1:9" ht="15">
      <c r="A39" s="87"/>
      <c r="B39" s="87"/>
      <c r="C39" s="87"/>
      <c r="D39" s="87"/>
      <c r="E39" s="87"/>
      <c r="F39" s="87"/>
      <c r="G39" s="87"/>
      <c r="H39" s="87"/>
      <c r="I39" s="87"/>
    </row>
    <row r="40" spans="1:9" ht="15">
      <c r="A40" s="87"/>
      <c r="B40" s="87"/>
      <c r="C40" s="87"/>
      <c r="D40" s="87"/>
      <c r="E40" s="87"/>
      <c r="F40" s="87"/>
      <c r="G40" s="87"/>
      <c r="H40" s="87"/>
      <c r="I40" s="87"/>
    </row>
    <row r="41" spans="1:9" ht="15">
      <c r="A41" s="87"/>
      <c r="B41" s="87"/>
      <c r="C41" s="87"/>
      <c r="D41" s="87"/>
      <c r="E41" s="87"/>
      <c r="F41" s="87"/>
      <c r="G41" s="87"/>
      <c r="H41" s="87"/>
      <c r="I41" s="87"/>
    </row>
  </sheetData>
  <mergeCells count="16">
    <mergeCell ref="G17:H17"/>
    <mergeCell ref="G18:H18"/>
    <mergeCell ref="G22:H22"/>
    <mergeCell ref="G23:H23"/>
    <mergeCell ref="C10:H10"/>
    <mergeCell ref="C11:H11"/>
    <mergeCell ref="C12:H12"/>
    <mergeCell ref="C13:H13"/>
    <mergeCell ref="C14:H14"/>
    <mergeCell ref="B16:H16"/>
    <mergeCell ref="B2:H2"/>
    <mergeCell ref="B3:H3"/>
    <mergeCell ref="B5:H5"/>
    <mergeCell ref="B7:H7"/>
    <mergeCell ref="B8:H8"/>
    <mergeCell ref="C9:H9"/>
  </mergeCells>
  <printOptions horizontalCentered="1"/>
  <pageMargins left="0.98425196850393704" right="0.98425196850393704" top="1.1811023622047245" bottom="0.98425196850393704" header="0.31496062992125984" footer="0.31496062992125984"/>
  <pageSetup paperSize="226" scale="2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1"/>
  <sheetViews>
    <sheetView showGridLines="0" view="pageBreakPreview" zoomScale="60" zoomScaleNormal="70" workbookViewId="0">
      <selection activeCell="G32" sqref="G32"/>
    </sheetView>
  </sheetViews>
  <sheetFormatPr defaultRowHeight="15.75"/>
  <cols>
    <col min="1" max="1" width="9.140625" style="90"/>
    <col min="2" max="2" width="15.28515625" style="90" customWidth="1"/>
    <col min="3" max="3" width="17" style="90" customWidth="1"/>
    <col min="4" max="4" width="14.28515625" style="90" customWidth="1"/>
    <col min="5" max="5" width="17" style="90" customWidth="1"/>
    <col min="6" max="6" width="18.5703125" style="90" customWidth="1"/>
    <col min="7" max="7" width="36.140625" style="90" customWidth="1"/>
    <col min="8" max="8" width="9.28515625" style="90" customWidth="1"/>
    <col min="9" max="9" width="16" style="90" customWidth="1"/>
    <col min="10" max="10" width="10.5703125" style="90" customWidth="1"/>
    <col min="11" max="257" width="9.140625" style="90"/>
    <col min="258" max="258" width="15.28515625" style="90" customWidth="1"/>
    <col min="259" max="259" width="17" style="90" customWidth="1"/>
    <col min="260" max="260" width="14.28515625" style="90" customWidth="1"/>
    <col min="261" max="261" width="17" style="90" customWidth="1"/>
    <col min="262" max="262" width="18.5703125" style="90" customWidth="1"/>
    <col min="263" max="263" width="36.140625" style="90" customWidth="1"/>
    <col min="264" max="264" width="9.28515625" style="90" customWidth="1"/>
    <col min="265" max="265" width="16" style="90" customWidth="1"/>
    <col min="266" max="266" width="10.5703125" style="90" customWidth="1"/>
    <col min="267" max="513" width="9.140625" style="90"/>
    <col min="514" max="514" width="15.28515625" style="90" customWidth="1"/>
    <col min="515" max="515" width="17" style="90" customWidth="1"/>
    <col min="516" max="516" width="14.28515625" style="90" customWidth="1"/>
    <col min="517" max="517" width="17" style="90" customWidth="1"/>
    <col min="518" max="518" width="18.5703125" style="90" customWidth="1"/>
    <col min="519" max="519" width="36.140625" style="90" customWidth="1"/>
    <col min="520" max="520" width="9.28515625" style="90" customWidth="1"/>
    <col min="521" max="521" width="16" style="90" customWidth="1"/>
    <col min="522" max="522" width="10.5703125" style="90" customWidth="1"/>
    <col min="523" max="769" width="9.140625" style="90"/>
    <col min="770" max="770" width="15.28515625" style="90" customWidth="1"/>
    <col min="771" max="771" width="17" style="90" customWidth="1"/>
    <col min="772" max="772" width="14.28515625" style="90" customWidth="1"/>
    <col min="773" max="773" width="17" style="90" customWidth="1"/>
    <col min="774" max="774" width="18.5703125" style="90" customWidth="1"/>
    <col min="775" max="775" width="36.140625" style="90" customWidth="1"/>
    <col min="776" max="776" width="9.28515625" style="90" customWidth="1"/>
    <col min="777" max="777" width="16" style="90" customWidth="1"/>
    <col min="778" max="778" width="10.5703125" style="90" customWidth="1"/>
    <col min="779" max="1025" width="9.140625" style="90"/>
    <col min="1026" max="1026" width="15.28515625" style="90" customWidth="1"/>
    <col min="1027" max="1027" width="17" style="90" customWidth="1"/>
    <col min="1028" max="1028" width="14.28515625" style="90" customWidth="1"/>
    <col min="1029" max="1029" width="17" style="90" customWidth="1"/>
    <col min="1030" max="1030" width="18.5703125" style="90" customWidth="1"/>
    <col min="1031" max="1031" width="36.140625" style="90" customWidth="1"/>
    <col min="1032" max="1032" width="9.28515625" style="90" customWidth="1"/>
    <col min="1033" max="1033" width="16" style="90" customWidth="1"/>
    <col min="1034" max="1034" width="10.5703125" style="90" customWidth="1"/>
    <col min="1035" max="1281" width="9.140625" style="90"/>
    <col min="1282" max="1282" width="15.28515625" style="90" customWidth="1"/>
    <col min="1283" max="1283" width="17" style="90" customWidth="1"/>
    <col min="1284" max="1284" width="14.28515625" style="90" customWidth="1"/>
    <col min="1285" max="1285" width="17" style="90" customWidth="1"/>
    <col min="1286" max="1286" width="18.5703125" style="90" customWidth="1"/>
    <col min="1287" max="1287" width="36.140625" style="90" customWidth="1"/>
    <col min="1288" max="1288" width="9.28515625" style="90" customWidth="1"/>
    <col min="1289" max="1289" width="16" style="90" customWidth="1"/>
    <col min="1290" max="1290" width="10.5703125" style="90" customWidth="1"/>
    <col min="1291" max="1537" width="9.140625" style="90"/>
    <col min="1538" max="1538" width="15.28515625" style="90" customWidth="1"/>
    <col min="1539" max="1539" width="17" style="90" customWidth="1"/>
    <col min="1540" max="1540" width="14.28515625" style="90" customWidth="1"/>
    <col min="1541" max="1541" width="17" style="90" customWidth="1"/>
    <col min="1542" max="1542" width="18.5703125" style="90" customWidth="1"/>
    <col min="1543" max="1543" width="36.140625" style="90" customWidth="1"/>
    <col min="1544" max="1544" width="9.28515625" style="90" customWidth="1"/>
    <col min="1545" max="1545" width="16" style="90" customWidth="1"/>
    <col min="1546" max="1546" width="10.5703125" style="90" customWidth="1"/>
    <col min="1547" max="1793" width="9.140625" style="90"/>
    <col min="1794" max="1794" width="15.28515625" style="90" customWidth="1"/>
    <col min="1795" max="1795" width="17" style="90" customWidth="1"/>
    <col min="1796" max="1796" width="14.28515625" style="90" customWidth="1"/>
    <col min="1797" max="1797" width="17" style="90" customWidth="1"/>
    <col min="1798" max="1798" width="18.5703125" style="90" customWidth="1"/>
    <col min="1799" max="1799" width="36.140625" style="90" customWidth="1"/>
    <col min="1800" max="1800" width="9.28515625" style="90" customWidth="1"/>
    <col min="1801" max="1801" width="16" style="90" customWidth="1"/>
    <col min="1802" max="1802" width="10.5703125" style="90" customWidth="1"/>
    <col min="1803" max="2049" width="9.140625" style="90"/>
    <col min="2050" max="2050" width="15.28515625" style="90" customWidth="1"/>
    <col min="2051" max="2051" width="17" style="90" customWidth="1"/>
    <col min="2052" max="2052" width="14.28515625" style="90" customWidth="1"/>
    <col min="2053" max="2053" width="17" style="90" customWidth="1"/>
    <col min="2054" max="2054" width="18.5703125" style="90" customWidth="1"/>
    <col min="2055" max="2055" width="36.140625" style="90" customWidth="1"/>
    <col min="2056" max="2056" width="9.28515625" style="90" customWidth="1"/>
    <col min="2057" max="2057" width="16" style="90" customWidth="1"/>
    <col min="2058" max="2058" width="10.5703125" style="90" customWidth="1"/>
    <col min="2059" max="2305" width="9.140625" style="90"/>
    <col min="2306" max="2306" width="15.28515625" style="90" customWidth="1"/>
    <col min="2307" max="2307" width="17" style="90" customWidth="1"/>
    <col min="2308" max="2308" width="14.28515625" style="90" customWidth="1"/>
    <col min="2309" max="2309" width="17" style="90" customWidth="1"/>
    <col min="2310" max="2310" width="18.5703125" style="90" customWidth="1"/>
    <col min="2311" max="2311" width="36.140625" style="90" customWidth="1"/>
    <col min="2312" max="2312" width="9.28515625" style="90" customWidth="1"/>
    <col min="2313" max="2313" width="16" style="90" customWidth="1"/>
    <col min="2314" max="2314" width="10.5703125" style="90" customWidth="1"/>
    <col min="2315" max="2561" width="9.140625" style="90"/>
    <col min="2562" max="2562" width="15.28515625" style="90" customWidth="1"/>
    <col min="2563" max="2563" width="17" style="90" customWidth="1"/>
    <col min="2564" max="2564" width="14.28515625" style="90" customWidth="1"/>
    <col min="2565" max="2565" width="17" style="90" customWidth="1"/>
    <col min="2566" max="2566" width="18.5703125" style="90" customWidth="1"/>
    <col min="2567" max="2567" width="36.140625" style="90" customWidth="1"/>
    <col min="2568" max="2568" width="9.28515625" style="90" customWidth="1"/>
    <col min="2569" max="2569" width="16" style="90" customWidth="1"/>
    <col min="2570" max="2570" width="10.5703125" style="90" customWidth="1"/>
    <col min="2571" max="2817" width="9.140625" style="90"/>
    <col min="2818" max="2818" width="15.28515625" style="90" customWidth="1"/>
    <col min="2819" max="2819" width="17" style="90" customWidth="1"/>
    <col min="2820" max="2820" width="14.28515625" style="90" customWidth="1"/>
    <col min="2821" max="2821" width="17" style="90" customWidth="1"/>
    <col min="2822" max="2822" width="18.5703125" style="90" customWidth="1"/>
    <col min="2823" max="2823" width="36.140625" style="90" customWidth="1"/>
    <col min="2824" max="2824" width="9.28515625" style="90" customWidth="1"/>
    <col min="2825" max="2825" width="16" style="90" customWidth="1"/>
    <col min="2826" max="2826" width="10.5703125" style="90" customWidth="1"/>
    <col min="2827" max="3073" width="9.140625" style="90"/>
    <col min="3074" max="3074" width="15.28515625" style="90" customWidth="1"/>
    <col min="3075" max="3075" width="17" style="90" customWidth="1"/>
    <col min="3076" max="3076" width="14.28515625" style="90" customWidth="1"/>
    <col min="3077" max="3077" width="17" style="90" customWidth="1"/>
    <col min="3078" max="3078" width="18.5703125" style="90" customWidth="1"/>
    <col min="3079" max="3079" width="36.140625" style="90" customWidth="1"/>
    <col min="3080" max="3080" width="9.28515625" style="90" customWidth="1"/>
    <col min="3081" max="3081" width="16" style="90" customWidth="1"/>
    <col min="3082" max="3082" width="10.5703125" style="90" customWidth="1"/>
    <col min="3083" max="3329" width="9.140625" style="90"/>
    <col min="3330" max="3330" width="15.28515625" style="90" customWidth="1"/>
    <col min="3331" max="3331" width="17" style="90" customWidth="1"/>
    <col min="3332" max="3332" width="14.28515625" style="90" customWidth="1"/>
    <col min="3333" max="3333" width="17" style="90" customWidth="1"/>
    <col min="3334" max="3334" width="18.5703125" style="90" customWidth="1"/>
    <col min="3335" max="3335" width="36.140625" style="90" customWidth="1"/>
    <col min="3336" max="3336" width="9.28515625" style="90" customWidth="1"/>
    <col min="3337" max="3337" width="16" style="90" customWidth="1"/>
    <col min="3338" max="3338" width="10.5703125" style="90" customWidth="1"/>
    <col min="3339" max="3585" width="9.140625" style="90"/>
    <col min="3586" max="3586" width="15.28515625" style="90" customWidth="1"/>
    <col min="3587" max="3587" width="17" style="90" customWidth="1"/>
    <col min="3588" max="3588" width="14.28515625" style="90" customWidth="1"/>
    <col min="3589" max="3589" width="17" style="90" customWidth="1"/>
    <col min="3590" max="3590" width="18.5703125" style="90" customWidth="1"/>
    <col min="3591" max="3591" width="36.140625" style="90" customWidth="1"/>
    <col min="3592" max="3592" width="9.28515625" style="90" customWidth="1"/>
    <col min="3593" max="3593" width="16" style="90" customWidth="1"/>
    <col min="3594" max="3594" width="10.5703125" style="90" customWidth="1"/>
    <col min="3595" max="3841" width="9.140625" style="90"/>
    <col min="3842" max="3842" width="15.28515625" style="90" customWidth="1"/>
    <col min="3843" max="3843" width="17" style="90" customWidth="1"/>
    <col min="3844" max="3844" width="14.28515625" style="90" customWidth="1"/>
    <col min="3845" max="3845" width="17" style="90" customWidth="1"/>
    <col min="3846" max="3846" width="18.5703125" style="90" customWidth="1"/>
    <col min="3847" max="3847" width="36.140625" style="90" customWidth="1"/>
    <col min="3848" max="3848" width="9.28515625" style="90" customWidth="1"/>
    <col min="3849" max="3849" width="16" style="90" customWidth="1"/>
    <col min="3850" max="3850" width="10.5703125" style="90" customWidth="1"/>
    <col min="3851" max="4097" width="9.140625" style="90"/>
    <col min="4098" max="4098" width="15.28515625" style="90" customWidth="1"/>
    <col min="4099" max="4099" width="17" style="90" customWidth="1"/>
    <col min="4100" max="4100" width="14.28515625" style="90" customWidth="1"/>
    <col min="4101" max="4101" width="17" style="90" customWidth="1"/>
    <col min="4102" max="4102" width="18.5703125" style="90" customWidth="1"/>
    <col min="4103" max="4103" width="36.140625" style="90" customWidth="1"/>
    <col min="4104" max="4104" width="9.28515625" style="90" customWidth="1"/>
    <col min="4105" max="4105" width="16" style="90" customWidth="1"/>
    <col min="4106" max="4106" width="10.5703125" style="90" customWidth="1"/>
    <col min="4107" max="4353" width="9.140625" style="90"/>
    <col min="4354" max="4354" width="15.28515625" style="90" customWidth="1"/>
    <col min="4355" max="4355" width="17" style="90" customWidth="1"/>
    <col min="4356" max="4356" width="14.28515625" style="90" customWidth="1"/>
    <col min="4357" max="4357" width="17" style="90" customWidth="1"/>
    <col min="4358" max="4358" width="18.5703125" style="90" customWidth="1"/>
    <col min="4359" max="4359" width="36.140625" style="90" customWidth="1"/>
    <col min="4360" max="4360" width="9.28515625" style="90" customWidth="1"/>
    <col min="4361" max="4361" width="16" style="90" customWidth="1"/>
    <col min="4362" max="4362" width="10.5703125" style="90" customWidth="1"/>
    <col min="4363" max="4609" width="9.140625" style="90"/>
    <col min="4610" max="4610" width="15.28515625" style="90" customWidth="1"/>
    <col min="4611" max="4611" width="17" style="90" customWidth="1"/>
    <col min="4612" max="4612" width="14.28515625" style="90" customWidth="1"/>
    <col min="4613" max="4613" width="17" style="90" customWidth="1"/>
    <col min="4614" max="4614" width="18.5703125" style="90" customWidth="1"/>
    <col min="4615" max="4615" width="36.140625" style="90" customWidth="1"/>
    <col min="4616" max="4616" width="9.28515625" style="90" customWidth="1"/>
    <col min="4617" max="4617" width="16" style="90" customWidth="1"/>
    <col min="4618" max="4618" width="10.5703125" style="90" customWidth="1"/>
    <col min="4619" max="4865" width="9.140625" style="90"/>
    <col min="4866" max="4866" width="15.28515625" style="90" customWidth="1"/>
    <col min="4867" max="4867" width="17" style="90" customWidth="1"/>
    <col min="4868" max="4868" width="14.28515625" style="90" customWidth="1"/>
    <col min="4869" max="4869" width="17" style="90" customWidth="1"/>
    <col min="4870" max="4870" width="18.5703125" style="90" customWidth="1"/>
    <col min="4871" max="4871" width="36.140625" style="90" customWidth="1"/>
    <col min="4872" max="4872" width="9.28515625" style="90" customWidth="1"/>
    <col min="4873" max="4873" width="16" style="90" customWidth="1"/>
    <col min="4874" max="4874" width="10.5703125" style="90" customWidth="1"/>
    <col min="4875" max="5121" width="9.140625" style="90"/>
    <col min="5122" max="5122" width="15.28515625" style="90" customWidth="1"/>
    <col min="5123" max="5123" width="17" style="90" customWidth="1"/>
    <col min="5124" max="5124" width="14.28515625" style="90" customWidth="1"/>
    <col min="5125" max="5125" width="17" style="90" customWidth="1"/>
    <col min="5126" max="5126" width="18.5703125" style="90" customWidth="1"/>
    <col min="5127" max="5127" width="36.140625" style="90" customWidth="1"/>
    <col min="5128" max="5128" width="9.28515625" style="90" customWidth="1"/>
    <col min="5129" max="5129" width="16" style="90" customWidth="1"/>
    <col min="5130" max="5130" width="10.5703125" style="90" customWidth="1"/>
    <col min="5131" max="5377" width="9.140625" style="90"/>
    <col min="5378" max="5378" width="15.28515625" style="90" customWidth="1"/>
    <col min="5379" max="5379" width="17" style="90" customWidth="1"/>
    <col min="5380" max="5380" width="14.28515625" style="90" customWidth="1"/>
    <col min="5381" max="5381" width="17" style="90" customWidth="1"/>
    <col min="5382" max="5382" width="18.5703125" style="90" customWidth="1"/>
    <col min="5383" max="5383" width="36.140625" style="90" customWidth="1"/>
    <col min="5384" max="5384" width="9.28515625" style="90" customWidth="1"/>
    <col min="5385" max="5385" width="16" style="90" customWidth="1"/>
    <col min="5386" max="5386" width="10.5703125" style="90" customWidth="1"/>
    <col min="5387" max="5633" width="9.140625" style="90"/>
    <col min="5634" max="5634" width="15.28515625" style="90" customWidth="1"/>
    <col min="5635" max="5635" width="17" style="90" customWidth="1"/>
    <col min="5636" max="5636" width="14.28515625" style="90" customWidth="1"/>
    <col min="5637" max="5637" width="17" style="90" customWidth="1"/>
    <col min="5638" max="5638" width="18.5703125" style="90" customWidth="1"/>
    <col min="5639" max="5639" width="36.140625" style="90" customWidth="1"/>
    <col min="5640" max="5640" width="9.28515625" style="90" customWidth="1"/>
    <col min="5641" max="5641" width="16" style="90" customWidth="1"/>
    <col min="5642" max="5642" width="10.5703125" style="90" customWidth="1"/>
    <col min="5643" max="5889" width="9.140625" style="90"/>
    <col min="5890" max="5890" width="15.28515625" style="90" customWidth="1"/>
    <col min="5891" max="5891" width="17" style="90" customWidth="1"/>
    <col min="5892" max="5892" width="14.28515625" style="90" customWidth="1"/>
    <col min="5893" max="5893" width="17" style="90" customWidth="1"/>
    <col min="5894" max="5894" width="18.5703125" style="90" customWidth="1"/>
    <col min="5895" max="5895" width="36.140625" style="90" customWidth="1"/>
    <col min="5896" max="5896" width="9.28515625" style="90" customWidth="1"/>
    <col min="5897" max="5897" width="16" style="90" customWidth="1"/>
    <col min="5898" max="5898" width="10.5703125" style="90" customWidth="1"/>
    <col min="5899" max="6145" width="9.140625" style="90"/>
    <col min="6146" max="6146" width="15.28515625" style="90" customWidth="1"/>
    <col min="6147" max="6147" width="17" style="90" customWidth="1"/>
    <col min="6148" max="6148" width="14.28515625" style="90" customWidth="1"/>
    <col min="6149" max="6149" width="17" style="90" customWidth="1"/>
    <col min="6150" max="6150" width="18.5703125" style="90" customWidth="1"/>
    <col min="6151" max="6151" width="36.140625" style="90" customWidth="1"/>
    <col min="6152" max="6152" width="9.28515625" style="90" customWidth="1"/>
    <col min="6153" max="6153" width="16" style="90" customWidth="1"/>
    <col min="6154" max="6154" width="10.5703125" style="90" customWidth="1"/>
    <col min="6155" max="6401" width="9.140625" style="90"/>
    <col min="6402" max="6402" width="15.28515625" style="90" customWidth="1"/>
    <col min="6403" max="6403" width="17" style="90" customWidth="1"/>
    <col min="6404" max="6404" width="14.28515625" style="90" customWidth="1"/>
    <col min="6405" max="6405" width="17" style="90" customWidth="1"/>
    <col min="6406" max="6406" width="18.5703125" style="90" customWidth="1"/>
    <col min="6407" max="6407" width="36.140625" style="90" customWidth="1"/>
    <col min="6408" max="6408" width="9.28515625" style="90" customWidth="1"/>
    <col min="6409" max="6409" width="16" style="90" customWidth="1"/>
    <col min="6410" max="6410" width="10.5703125" style="90" customWidth="1"/>
    <col min="6411" max="6657" width="9.140625" style="90"/>
    <col min="6658" max="6658" width="15.28515625" style="90" customWidth="1"/>
    <col min="6659" max="6659" width="17" style="90" customWidth="1"/>
    <col min="6660" max="6660" width="14.28515625" style="90" customWidth="1"/>
    <col min="6661" max="6661" width="17" style="90" customWidth="1"/>
    <col min="6662" max="6662" width="18.5703125" style="90" customWidth="1"/>
    <col min="6663" max="6663" width="36.140625" style="90" customWidth="1"/>
    <col min="6664" max="6664" width="9.28515625" style="90" customWidth="1"/>
    <col min="6665" max="6665" width="16" style="90" customWidth="1"/>
    <col min="6666" max="6666" width="10.5703125" style="90" customWidth="1"/>
    <col min="6667" max="6913" width="9.140625" style="90"/>
    <col min="6914" max="6914" width="15.28515625" style="90" customWidth="1"/>
    <col min="6915" max="6915" width="17" style="90" customWidth="1"/>
    <col min="6916" max="6916" width="14.28515625" style="90" customWidth="1"/>
    <col min="6917" max="6917" width="17" style="90" customWidth="1"/>
    <col min="6918" max="6918" width="18.5703125" style="90" customWidth="1"/>
    <col min="6919" max="6919" width="36.140625" style="90" customWidth="1"/>
    <col min="6920" max="6920" width="9.28515625" style="90" customWidth="1"/>
    <col min="6921" max="6921" width="16" style="90" customWidth="1"/>
    <col min="6922" max="6922" width="10.5703125" style="90" customWidth="1"/>
    <col min="6923" max="7169" width="9.140625" style="90"/>
    <col min="7170" max="7170" width="15.28515625" style="90" customWidth="1"/>
    <col min="7171" max="7171" width="17" style="90" customWidth="1"/>
    <col min="7172" max="7172" width="14.28515625" style="90" customWidth="1"/>
    <col min="7173" max="7173" width="17" style="90" customWidth="1"/>
    <col min="7174" max="7174" width="18.5703125" style="90" customWidth="1"/>
    <col min="7175" max="7175" width="36.140625" style="90" customWidth="1"/>
    <col min="7176" max="7176" width="9.28515625" style="90" customWidth="1"/>
    <col min="7177" max="7177" width="16" style="90" customWidth="1"/>
    <col min="7178" max="7178" width="10.5703125" style="90" customWidth="1"/>
    <col min="7179" max="7425" width="9.140625" style="90"/>
    <col min="7426" max="7426" width="15.28515625" style="90" customWidth="1"/>
    <col min="7427" max="7427" width="17" style="90" customWidth="1"/>
    <col min="7428" max="7428" width="14.28515625" style="90" customWidth="1"/>
    <col min="7429" max="7429" width="17" style="90" customWidth="1"/>
    <col min="7430" max="7430" width="18.5703125" style="90" customWidth="1"/>
    <col min="7431" max="7431" width="36.140625" style="90" customWidth="1"/>
    <col min="7432" max="7432" width="9.28515625" style="90" customWidth="1"/>
    <col min="7433" max="7433" width="16" style="90" customWidth="1"/>
    <col min="7434" max="7434" width="10.5703125" style="90" customWidth="1"/>
    <col min="7435" max="7681" width="9.140625" style="90"/>
    <col min="7682" max="7682" width="15.28515625" style="90" customWidth="1"/>
    <col min="7683" max="7683" width="17" style="90" customWidth="1"/>
    <col min="7684" max="7684" width="14.28515625" style="90" customWidth="1"/>
    <col min="7685" max="7685" width="17" style="90" customWidth="1"/>
    <col min="7686" max="7686" width="18.5703125" style="90" customWidth="1"/>
    <col min="7687" max="7687" width="36.140625" style="90" customWidth="1"/>
    <col min="7688" max="7688" width="9.28515625" style="90" customWidth="1"/>
    <col min="7689" max="7689" width="16" style="90" customWidth="1"/>
    <col min="7690" max="7690" width="10.5703125" style="90" customWidth="1"/>
    <col min="7691" max="7937" width="9.140625" style="90"/>
    <col min="7938" max="7938" width="15.28515625" style="90" customWidth="1"/>
    <col min="7939" max="7939" width="17" style="90" customWidth="1"/>
    <col min="7940" max="7940" width="14.28515625" style="90" customWidth="1"/>
    <col min="7941" max="7941" width="17" style="90" customWidth="1"/>
    <col min="7942" max="7942" width="18.5703125" style="90" customWidth="1"/>
    <col min="7943" max="7943" width="36.140625" style="90" customWidth="1"/>
    <col min="7944" max="7944" width="9.28515625" style="90" customWidth="1"/>
    <col min="7945" max="7945" width="16" style="90" customWidth="1"/>
    <col min="7946" max="7946" width="10.5703125" style="90" customWidth="1"/>
    <col min="7947" max="8193" width="9.140625" style="90"/>
    <col min="8194" max="8194" width="15.28515625" style="90" customWidth="1"/>
    <col min="8195" max="8195" width="17" style="90" customWidth="1"/>
    <col min="8196" max="8196" width="14.28515625" style="90" customWidth="1"/>
    <col min="8197" max="8197" width="17" style="90" customWidth="1"/>
    <col min="8198" max="8198" width="18.5703125" style="90" customWidth="1"/>
    <col min="8199" max="8199" width="36.140625" style="90" customWidth="1"/>
    <col min="8200" max="8200" width="9.28515625" style="90" customWidth="1"/>
    <col min="8201" max="8201" width="16" style="90" customWidth="1"/>
    <col min="8202" max="8202" width="10.5703125" style="90" customWidth="1"/>
    <col min="8203" max="8449" width="9.140625" style="90"/>
    <col min="8450" max="8450" width="15.28515625" style="90" customWidth="1"/>
    <col min="8451" max="8451" width="17" style="90" customWidth="1"/>
    <col min="8452" max="8452" width="14.28515625" style="90" customWidth="1"/>
    <col min="8453" max="8453" width="17" style="90" customWidth="1"/>
    <col min="8454" max="8454" width="18.5703125" style="90" customWidth="1"/>
    <col min="8455" max="8455" width="36.140625" style="90" customWidth="1"/>
    <col min="8456" max="8456" width="9.28515625" style="90" customWidth="1"/>
    <col min="8457" max="8457" width="16" style="90" customWidth="1"/>
    <col min="8458" max="8458" width="10.5703125" style="90" customWidth="1"/>
    <col min="8459" max="8705" width="9.140625" style="90"/>
    <col min="8706" max="8706" width="15.28515625" style="90" customWidth="1"/>
    <col min="8707" max="8707" width="17" style="90" customWidth="1"/>
    <col min="8708" max="8708" width="14.28515625" style="90" customWidth="1"/>
    <col min="8709" max="8709" width="17" style="90" customWidth="1"/>
    <col min="8710" max="8710" width="18.5703125" style="90" customWidth="1"/>
    <col min="8711" max="8711" width="36.140625" style="90" customWidth="1"/>
    <col min="8712" max="8712" width="9.28515625" style="90" customWidth="1"/>
    <col min="8713" max="8713" width="16" style="90" customWidth="1"/>
    <col min="8714" max="8714" width="10.5703125" style="90" customWidth="1"/>
    <col min="8715" max="8961" width="9.140625" style="90"/>
    <col min="8962" max="8962" width="15.28515625" style="90" customWidth="1"/>
    <col min="8963" max="8963" width="17" style="90" customWidth="1"/>
    <col min="8964" max="8964" width="14.28515625" style="90" customWidth="1"/>
    <col min="8965" max="8965" width="17" style="90" customWidth="1"/>
    <col min="8966" max="8966" width="18.5703125" style="90" customWidth="1"/>
    <col min="8967" max="8967" width="36.140625" style="90" customWidth="1"/>
    <col min="8968" max="8968" width="9.28515625" style="90" customWidth="1"/>
    <col min="8969" max="8969" width="16" style="90" customWidth="1"/>
    <col min="8970" max="8970" width="10.5703125" style="90" customWidth="1"/>
    <col min="8971" max="9217" width="9.140625" style="90"/>
    <col min="9218" max="9218" width="15.28515625" style="90" customWidth="1"/>
    <col min="9219" max="9219" width="17" style="90" customWidth="1"/>
    <col min="9220" max="9220" width="14.28515625" style="90" customWidth="1"/>
    <col min="9221" max="9221" width="17" style="90" customWidth="1"/>
    <col min="9222" max="9222" width="18.5703125" style="90" customWidth="1"/>
    <col min="9223" max="9223" width="36.140625" style="90" customWidth="1"/>
    <col min="9224" max="9224" width="9.28515625" style="90" customWidth="1"/>
    <col min="9225" max="9225" width="16" style="90" customWidth="1"/>
    <col min="9226" max="9226" width="10.5703125" style="90" customWidth="1"/>
    <col min="9227" max="9473" width="9.140625" style="90"/>
    <col min="9474" max="9474" width="15.28515625" style="90" customWidth="1"/>
    <col min="9475" max="9475" width="17" style="90" customWidth="1"/>
    <col min="9476" max="9476" width="14.28515625" style="90" customWidth="1"/>
    <col min="9477" max="9477" width="17" style="90" customWidth="1"/>
    <col min="9478" max="9478" width="18.5703125" style="90" customWidth="1"/>
    <col min="9479" max="9479" width="36.140625" style="90" customWidth="1"/>
    <col min="9480" max="9480" width="9.28515625" style="90" customWidth="1"/>
    <col min="9481" max="9481" width="16" style="90" customWidth="1"/>
    <col min="9482" max="9482" width="10.5703125" style="90" customWidth="1"/>
    <col min="9483" max="9729" width="9.140625" style="90"/>
    <col min="9730" max="9730" width="15.28515625" style="90" customWidth="1"/>
    <col min="9731" max="9731" width="17" style="90" customWidth="1"/>
    <col min="9732" max="9732" width="14.28515625" style="90" customWidth="1"/>
    <col min="9733" max="9733" width="17" style="90" customWidth="1"/>
    <col min="9734" max="9734" width="18.5703125" style="90" customWidth="1"/>
    <col min="9735" max="9735" width="36.140625" style="90" customWidth="1"/>
    <col min="9736" max="9736" width="9.28515625" style="90" customWidth="1"/>
    <col min="9737" max="9737" width="16" style="90" customWidth="1"/>
    <col min="9738" max="9738" width="10.5703125" style="90" customWidth="1"/>
    <col min="9739" max="9985" width="9.140625" style="90"/>
    <col min="9986" max="9986" width="15.28515625" style="90" customWidth="1"/>
    <col min="9987" max="9987" width="17" style="90" customWidth="1"/>
    <col min="9988" max="9988" width="14.28515625" style="90" customWidth="1"/>
    <col min="9989" max="9989" width="17" style="90" customWidth="1"/>
    <col min="9990" max="9990" width="18.5703125" style="90" customWidth="1"/>
    <col min="9991" max="9991" width="36.140625" style="90" customWidth="1"/>
    <col min="9992" max="9992" width="9.28515625" style="90" customWidth="1"/>
    <col min="9993" max="9993" width="16" style="90" customWidth="1"/>
    <col min="9994" max="9994" width="10.5703125" style="90" customWidth="1"/>
    <col min="9995" max="10241" width="9.140625" style="90"/>
    <col min="10242" max="10242" width="15.28515625" style="90" customWidth="1"/>
    <col min="10243" max="10243" width="17" style="90" customWidth="1"/>
    <col min="10244" max="10244" width="14.28515625" style="90" customWidth="1"/>
    <col min="10245" max="10245" width="17" style="90" customWidth="1"/>
    <col min="10246" max="10246" width="18.5703125" style="90" customWidth="1"/>
    <col min="10247" max="10247" width="36.140625" style="90" customWidth="1"/>
    <col min="10248" max="10248" width="9.28515625" style="90" customWidth="1"/>
    <col min="10249" max="10249" width="16" style="90" customWidth="1"/>
    <col min="10250" max="10250" width="10.5703125" style="90" customWidth="1"/>
    <col min="10251" max="10497" width="9.140625" style="90"/>
    <col min="10498" max="10498" width="15.28515625" style="90" customWidth="1"/>
    <col min="10499" max="10499" width="17" style="90" customWidth="1"/>
    <col min="10500" max="10500" width="14.28515625" style="90" customWidth="1"/>
    <col min="10501" max="10501" width="17" style="90" customWidth="1"/>
    <col min="10502" max="10502" width="18.5703125" style="90" customWidth="1"/>
    <col min="10503" max="10503" width="36.140625" style="90" customWidth="1"/>
    <col min="10504" max="10504" width="9.28515625" style="90" customWidth="1"/>
    <col min="10505" max="10505" width="16" style="90" customWidth="1"/>
    <col min="10506" max="10506" width="10.5703125" style="90" customWidth="1"/>
    <col min="10507" max="10753" width="9.140625" style="90"/>
    <col min="10754" max="10754" width="15.28515625" style="90" customWidth="1"/>
    <col min="10755" max="10755" width="17" style="90" customWidth="1"/>
    <col min="10756" max="10756" width="14.28515625" style="90" customWidth="1"/>
    <col min="10757" max="10757" width="17" style="90" customWidth="1"/>
    <col min="10758" max="10758" width="18.5703125" style="90" customWidth="1"/>
    <col min="10759" max="10759" width="36.140625" style="90" customWidth="1"/>
    <col min="10760" max="10760" width="9.28515625" style="90" customWidth="1"/>
    <col min="10761" max="10761" width="16" style="90" customWidth="1"/>
    <col min="10762" max="10762" width="10.5703125" style="90" customWidth="1"/>
    <col min="10763" max="11009" width="9.140625" style="90"/>
    <col min="11010" max="11010" width="15.28515625" style="90" customWidth="1"/>
    <col min="11011" max="11011" width="17" style="90" customWidth="1"/>
    <col min="11012" max="11012" width="14.28515625" style="90" customWidth="1"/>
    <col min="11013" max="11013" width="17" style="90" customWidth="1"/>
    <col min="11014" max="11014" width="18.5703125" style="90" customWidth="1"/>
    <col min="11015" max="11015" width="36.140625" style="90" customWidth="1"/>
    <col min="11016" max="11016" width="9.28515625" style="90" customWidth="1"/>
    <col min="11017" max="11017" width="16" style="90" customWidth="1"/>
    <col min="11018" max="11018" width="10.5703125" style="90" customWidth="1"/>
    <col min="11019" max="11265" width="9.140625" style="90"/>
    <col min="11266" max="11266" width="15.28515625" style="90" customWidth="1"/>
    <col min="11267" max="11267" width="17" style="90" customWidth="1"/>
    <col min="11268" max="11268" width="14.28515625" style="90" customWidth="1"/>
    <col min="11269" max="11269" width="17" style="90" customWidth="1"/>
    <col min="11270" max="11270" width="18.5703125" style="90" customWidth="1"/>
    <col min="11271" max="11271" width="36.140625" style="90" customWidth="1"/>
    <col min="11272" max="11272" width="9.28515625" style="90" customWidth="1"/>
    <col min="11273" max="11273" width="16" style="90" customWidth="1"/>
    <col min="11274" max="11274" width="10.5703125" style="90" customWidth="1"/>
    <col min="11275" max="11521" width="9.140625" style="90"/>
    <col min="11522" max="11522" width="15.28515625" style="90" customWidth="1"/>
    <col min="11523" max="11523" width="17" style="90" customWidth="1"/>
    <col min="11524" max="11524" width="14.28515625" style="90" customWidth="1"/>
    <col min="11525" max="11525" width="17" style="90" customWidth="1"/>
    <col min="11526" max="11526" width="18.5703125" style="90" customWidth="1"/>
    <col min="11527" max="11527" width="36.140625" style="90" customWidth="1"/>
    <col min="11528" max="11528" width="9.28515625" style="90" customWidth="1"/>
    <col min="11529" max="11529" width="16" style="90" customWidth="1"/>
    <col min="11530" max="11530" width="10.5703125" style="90" customWidth="1"/>
    <col min="11531" max="11777" width="9.140625" style="90"/>
    <col min="11778" max="11778" width="15.28515625" style="90" customWidth="1"/>
    <col min="11779" max="11779" width="17" style="90" customWidth="1"/>
    <col min="11780" max="11780" width="14.28515625" style="90" customWidth="1"/>
    <col min="11781" max="11781" width="17" style="90" customWidth="1"/>
    <col min="11782" max="11782" width="18.5703125" style="90" customWidth="1"/>
    <col min="11783" max="11783" width="36.140625" style="90" customWidth="1"/>
    <col min="11784" max="11784" width="9.28515625" style="90" customWidth="1"/>
    <col min="11785" max="11785" width="16" style="90" customWidth="1"/>
    <col min="11786" max="11786" width="10.5703125" style="90" customWidth="1"/>
    <col min="11787" max="12033" width="9.140625" style="90"/>
    <col min="12034" max="12034" width="15.28515625" style="90" customWidth="1"/>
    <col min="12035" max="12035" width="17" style="90" customWidth="1"/>
    <col min="12036" max="12036" width="14.28515625" style="90" customWidth="1"/>
    <col min="12037" max="12037" width="17" style="90" customWidth="1"/>
    <col min="12038" max="12038" width="18.5703125" style="90" customWidth="1"/>
    <col min="12039" max="12039" width="36.140625" style="90" customWidth="1"/>
    <col min="12040" max="12040" width="9.28515625" style="90" customWidth="1"/>
    <col min="12041" max="12041" width="16" style="90" customWidth="1"/>
    <col min="12042" max="12042" width="10.5703125" style="90" customWidth="1"/>
    <col min="12043" max="12289" width="9.140625" style="90"/>
    <col min="12290" max="12290" width="15.28515625" style="90" customWidth="1"/>
    <col min="12291" max="12291" width="17" style="90" customWidth="1"/>
    <col min="12292" max="12292" width="14.28515625" style="90" customWidth="1"/>
    <col min="12293" max="12293" width="17" style="90" customWidth="1"/>
    <col min="12294" max="12294" width="18.5703125" style="90" customWidth="1"/>
    <col min="12295" max="12295" width="36.140625" style="90" customWidth="1"/>
    <col min="12296" max="12296" width="9.28515625" style="90" customWidth="1"/>
    <col min="12297" max="12297" width="16" style="90" customWidth="1"/>
    <col min="12298" max="12298" width="10.5703125" style="90" customWidth="1"/>
    <col min="12299" max="12545" width="9.140625" style="90"/>
    <col min="12546" max="12546" width="15.28515625" style="90" customWidth="1"/>
    <col min="12547" max="12547" width="17" style="90" customWidth="1"/>
    <col min="12548" max="12548" width="14.28515625" style="90" customWidth="1"/>
    <col min="12549" max="12549" width="17" style="90" customWidth="1"/>
    <col min="12550" max="12550" width="18.5703125" style="90" customWidth="1"/>
    <col min="12551" max="12551" width="36.140625" style="90" customWidth="1"/>
    <col min="12552" max="12552" width="9.28515625" style="90" customWidth="1"/>
    <col min="12553" max="12553" width="16" style="90" customWidth="1"/>
    <col min="12554" max="12554" width="10.5703125" style="90" customWidth="1"/>
    <col min="12555" max="12801" width="9.140625" style="90"/>
    <col min="12802" max="12802" width="15.28515625" style="90" customWidth="1"/>
    <col min="12803" max="12803" width="17" style="90" customWidth="1"/>
    <col min="12804" max="12804" width="14.28515625" style="90" customWidth="1"/>
    <col min="12805" max="12805" width="17" style="90" customWidth="1"/>
    <col min="12806" max="12806" width="18.5703125" style="90" customWidth="1"/>
    <col min="12807" max="12807" width="36.140625" style="90" customWidth="1"/>
    <col min="12808" max="12808" width="9.28515625" style="90" customWidth="1"/>
    <col min="12809" max="12809" width="16" style="90" customWidth="1"/>
    <col min="12810" max="12810" width="10.5703125" style="90" customWidth="1"/>
    <col min="12811" max="13057" width="9.140625" style="90"/>
    <col min="13058" max="13058" width="15.28515625" style="90" customWidth="1"/>
    <col min="13059" max="13059" width="17" style="90" customWidth="1"/>
    <col min="13060" max="13060" width="14.28515625" style="90" customWidth="1"/>
    <col min="13061" max="13061" width="17" style="90" customWidth="1"/>
    <col min="13062" max="13062" width="18.5703125" style="90" customWidth="1"/>
    <col min="13063" max="13063" width="36.140625" style="90" customWidth="1"/>
    <col min="13064" max="13064" width="9.28515625" style="90" customWidth="1"/>
    <col min="13065" max="13065" width="16" style="90" customWidth="1"/>
    <col min="13066" max="13066" width="10.5703125" style="90" customWidth="1"/>
    <col min="13067" max="13313" width="9.140625" style="90"/>
    <col min="13314" max="13314" width="15.28515625" style="90" customWidth="1"/>
    <col min="13315" max="13315" width="17" style="90" customWidth="1"/>
    <col min="13316" max="13316" width="14.28515625" style="90" customWidth="1"/>
    <col min="13317" max="13317" width="17" style="90" customWidth="1"/>
    <col min="13318" max="13318" width="18.5703125" style="90" customWidth="1"/>
    <col min="13319" max="13319" width="36.140625" style="90" customWidth="1"/>
    <col min="13320" max="13320" width="9.28515625" style="90" customWidth="1"/>
    <col min="13321" max="13321" width="16" style="90" customWidth="1"/>
    <col min="13322" max="13322" width="10.5703125" style="90" customWidth="1"/>
    <col min="13323" max="13569" width="9.140625" style="90"/>
    <col min="13570" max="13570" width="15.28515625" style="90" customWidth="1"/>
    <col min="13571" max="13571" width="17" style="90" customWidth="1"/>
    <col min="13572" max="13572" width="14.28515625" style="90" customWidth="1"/>
    <col min="13573" max="13573" width="17" style="90" customWidth="1"/>
    <col min="13574" max="13574" width="18.5703125" style="90" customWidth="1"/>
    <col min="13575" max="13575" width="36.140625" style="90" customWidth="1"/>
    <col min="13576" max="13576" width="9.28515625" style="90" customWidth="1"/>
    <col min="13577" max="13577" width="16" style="90" customWidth="1"/>
    <col min="13578" max="13578" width="10.5703125" style="90" customWidth="1"/>
    <col min="13579" max="13825" width="9.140625" style="90"/>
    <col min="13826" max="13826" width="15.28515625" style="90" customWidth="1"/>
    <col min="13827" max="13827" width="17" style="90" customWidth="1"/>
    <col min="13828" max="13828" width="14.28515625" style="90" customWidth="1"/>
    <col min="13829" max="13829" width="17" style="90" customWidth="1"/>
    <col min="13830" max="13830" width="18.5703125" style="90" customWidth="1"/>
    <col min="13831" max="13831" width="36.140625" style="90" customWidth="1"/>
    <col min="13832" max="13832" width="9.28515625" style="90" customWidth="1"/>
    <col min="13833" max="13833" width="16" style="90" customWidth="1"/>
    <col min="13834" max="13834" width="10.5703125" style="90" customWidth="1"/>
    <col min="13835" max="14081" width="9.140625" style="90"/>
    <col min="14082" max="14082" width="15.28515625" style="90" customWidth="1"/>
    <col min="14083" max="14083" width="17" style="90" customWidth="1"/>
    <col min="14084" max="14084" width="14.28515625" style="90" customWidth="1"/>
    <col min="14085" max="14085" width="17" style="90" customWidth="1"/>
    <col min="14086" max="14086" width="18.5703125" style="90" customWidth="1"/>
    <col min="14087" max="14087" width="36.140625" style="90" customWidth="1"/>
    <col min="14088" max="14088" width="9.28515625" style="90" customWidth="1"/>
    <col min="14089" max="14089" width="16" style="90" customWidth="1"/>
    <col min="14090" max="14090" width="10.5703125" style="90" customWidth="1"/>
    <col min="14091" max="14337" width="9.140625" style="90"/>
    <col min="14338" max="14338" width="15.28515625" style="90" customWidth="1"/>
    <col min="14339" max="14339" width="17" style="90" customWidth="1"/>
    <col min="14340" max="14340" width="14.28515625" style="90" customWidth="1"/>
    <col min="14341" max="14341" width="17" style="90" customWidth="1"/>
    <col min="14342" max="14342" width="18.5703125" style="90" customWidth="1"/>
    <col min="14343" max="14343" width="36.140625" style="90" customWidth="1"/>
    <col min="14344" max="14344" width="9.28515625" style="90" customWidth="1"/>
    <col min="14345" max="14345" width="16" style="90" customWidth="1"/>
    <col min="14346" max="14346" width="10.5703125" style="90" customWidth="1"/>
    <col min="14347" max="14593" width="9.140625" style="90"/>
    <col min="14594" max="14594" width="15.28515625" style="90" customWidth="1"/>
    <col min="14595" max="14595" width="17" style="90" customWidth="1"/>
    <col min="14596" max="14596" width="14.28515625" style="90" customWidth="1"/>
    <col min="14597" max="14597" width="17" style="90" customWidth="1"/>
    <col min="14598" max="14598" width="18.5703125" style="90" customWidth="1"/>
    <col min="14599" max="14599" width="36.140625" style="90" customWidth="1"/>
    <col min="14600" max="14600" width="9.28515625" style="90" customWidth="1"/>
    <col min="14601" max="14601" width="16" style="90" customWidth="1"/>
    <col min="14602" max="14602" width="10.5703125" style="90" customWidth="1"/>
    <col min="14603" max="14849" width="9.140625" style="90"/>
    <col min="14850" max="14850" width="15.28515625" style="90" customWidth="1"/>
    <col min="14851" max="14851" width="17" style="90" customWidth="1"/>
    <col min="14852" max="14852" width="14.28515625" style="90" customWidth="1"/>
    <col min="14853" max="14853" width="17" style="90" customWidth="1"/>
    <col min="14854" max="14854" width="18.5703125" style="90" customWidth="1"/>
    <col min="14855" max="14855" width="36.140625" style="90" customWidth="1"/>
    <col min="14856" max="14856" width="9.28515625" style="90" customWidth="1"/>
    <col min="14857" max="14857" width="16" style="90" customWidth="1"/>
    <col min="14858" max="14858" width="10.5703125" style="90" customWidth="1"/>
    <col min="14859" max="15105" width="9.140625" style="90"/>
    <col min="15106" max="15106" width="15.28515625" style="90" customWidth="1"/>
    <col min="15107" max="15107" width="17" style="90" customWidth="1"/>
    <col min="15108" max="15108" width="14.28515625" style="90" customWidth="1"/>
    <col min="15109" max="15109" width="17" style="90" customWidth="1"/>
    <col min="15110" max="15110" width="18.5703125" style="90" customWidth="1"/>
    <col min="15111" max="15111" width="36.140625" style="90" customWidth="1"/>
    <col min="15112" max="15112" width="9.28515625" style="90" customWidth="1"/>
    <col min="15113" max="15113" width="16" style="90" customWidth="1"/>
    <col min="15114" max="15114" width="10.5703125" style="90" customWidth="1"/>
    <col min="15115" max="15361" width="9.140625" style="90"/>
    <col min="15362" max="15362" width="15.28515625" style="90" customWidth="1"/>
    <col min="15363" max="15363" width="17" style="90" customWidth="1"/>
    <col min="15364" max="15364" width="14.28515625" style="90" customWidth="1"/>
    <col min="15365" max="15365" width="17" style="90" customWidth="1"/>
    <col min="15366" max="15366" width="18.5703125" style="90" customWidth="1"/>
    <col min="15367" max="15367" width="36.140625" style="90" customWidth="1"/>
    <col min="15368" max="15368" width="9.28515625" style="90" customWidth="1"/>
    <col min="15369" max="15369" width="16" style="90" customWidth="1"/>
    <col min="15370" max="15370" width="10.5703125" style="90" customWidth="1"/>
    <col min="15371" max="15617" width="9.140625" style="90"/>
    <col min="15618" max="15618" width="15.28515625" style="90" customWidth="1"/>
    <col min="15619" max="15619" width="17" style="90" customWidth="1"/>
    <col min="15620" max="15620" width="14.28515625" style="90" customWidth="1"/>
    <col min="15621" max="15621" width="17" style="90" customWidth="1"/>
    <col min="15622" max="15622" width="18.5703125" style="90" customWidth="1"/>
    <col min="15623" max="15623" width="36.140625" style="90" customWidth="1"/>
    <col min="15624" max="15624" width="9.28515625" style="90" customWidth="1"/>
    <col min="15625" max="15625" width="16" style="90" customWidth="1"/>
    <col min="15626" max="15626" width="10.5703125" style="90" customWidth="1"/>
    <col min="15627" max="15873" width="9.140625" style="90"/>
    <col min="15874" max="15874" width="15.28515625" style="90" customWidth="1"/>
    <col min="15875" max="15875" width="17" style="90" customWidth="1"/>
    <col min="15876" max="15876" width="14.28515625" style="90" customWidth="1"/>
    <col min="15877" max="15877" width="17" style="90" customWidth="1"/>
    <col min="15878" max="15878" width="18.5703125" style="90" customWidth="1"/>
    <col min="15879" max="15879" width="36.140625" style="90" customWidth="1"/>
    <col min="15880" max="15880" width="9.28515625" style="90" customWidth="1"/>
    <col min="15881" max="15881" width="16" style="90" customWidth="1"/>
    <col min="15882" max="15882" width="10.5703125" style="90" customWidth="1"/>
    <col min="15883" max="16129" width="9.140625" style="90"/>
    <col min="16130" max="16130" width="15.28515625" style="90" customWidth="1"/>
    <col min="16131" max="16131" width="17" style="90" customWidth="1"/>
    <col min="16132" max="16132" width="14.28515625" style="90" customWidth="1"/>
    <col min="16133" max="16133" width="17" style="90" customWidth="1"/>
    <col min="16134" max="16134" width="18.5703125" style="90" customWidth="1"/>
    <col min="16135" max="16135" width="36.140625" style="90" customWidth="1"/>
    <col min="16136" max="16136" width="9.28515625" style="90" customWidth="1"/>
    <col min="16137" max="16137" width="16" style="90" customWidth="1"/>
    <col min="16138" max="16138" width="10.5703125" style="90" customWidth="1"/>
    <col min="16139" max="16384" width="9.140625" style="90"/>
  </cols>
  <sheetData>
    <row r="4" spans="2:10">
      <c r="B4" s="88" t="s">
        <v>785</v>
      </c>
      <c r="C4" s="88"/>
      <c r="D4" s="88"/>
      <c r="E4" s="88"/>
      <c r="F4" s="88"/>
      <c r="G4" s="88"/>
      <c r="H4" s="89"/>
    </row>
    <row r="5" spans="2:10">
      <c r="B5" s="88" t="s">
        <v>786</v>
      </c>
      <c r="C5" s="88"/>
      <c r="D5" s="88"/>
      <c r="E5" s="88"/>
      <c r="F5" s="88"/>
      <c r="G5" s="88"/>
      <c r="H5" s="91"/>
    </row>
    <row r="6" spans="2:10" ht="23.25">
      <c r="B6" s="88" t="s">
        <v>787</v>
      </c>
      <c r="C6" s="88"/>
      <c r="D6" s="88"/>
      <c r="E6" s="88"/>
      <c r="F6" s="88"/>
      <c r="G6" s="88"/>
      <c r="H6" s="92"/>
      <c r="I6" s="93"/>
      <c r="J6" s="93"/>
    </row>
    <row r="7" spans="2:10" ht="17.25" customHeight="1">
      <c r="B7" s="88" t="s">
        <v>788</v>
      </c>
      <c r="C7" s="88"/>
      <c r="D7" s="88"/>
      <c r="E7" s="88"/>
      <c r="F7" s="88"/>
      <c r="G7" s="88"/>
      <c r="H7" s="92"/>
      <c r="I7" s="93"/>
      <c r="J7" s="93"/>
    </row>
    <row r="8" spans="2:10" ht="18.75" customHeight="1">
      <c r="B8" s="94"/>
      <c r="C8" s="94"/>
      <c r="D8" s="94"/>
      <c r="E8" s="94"/>
      <c r="F8" s="94"/>
      <c r="G8" s="94"/>
      <c r="H8" s="93"/>
      <c r="I8" s="93"/>
      <c r="J8" s="93"/>
    </row>
    <row r="9" spans="2:10" ht="16.5">
      <c r="B9" s="95"/>
      <c r="C9" s="96"/>
      <c r="D9" s="96"/>
      <c r="E9" s="96"/>
      <c r="F9" s="96"/>
      <c r="G9" s="96"/>
    </row>
    <row r="10" spans="2:10" ht="16.5">
      <c r="B10" s="95"/>
      <c r="C10" s="96"/>
      <c r="D10" s="96"/>
      <c r="E10" s="96"/>
      <c r="F10" s="96"/>
      <c r="G10" s="96"/>
    </row>
    <row r="11" spans="2:10" ht="16.5">
      <c r="B11" s="95"/>
      <c r="C11" s="96"/>
      <c r="D11" s="96"/>
      <c r="E11" s="96"/>
      <c r="F11" s="96"/>
      <c r="G11" s="96"/>
    </row>
    <row r="12" spans="2:10" ht="18" customHeight="1">
      <c r="B12" s="97" t="s">
        <v>789</v>
      </c>
      <c r="C12" s="97"/>
      <c r="D12" s="97"/>
      <c r="E12" s="97"/>
      <c r="F12" s="97"/>
      <c r="G12" s="97"/>
      <c r="J12" s="98"/>
    </row>
    <row r="13" spans="2:10" ht="18">
      <c r="B13" s="97"/>
      <c r="C13" s="97"/>
      <c r="D13" s="97"/>
      <c r="E13" s="97"/>
      <c r="F13" s="97"/>
      <c r="G13" s="97"/>
      <c r="J13" s="99"/>
    </row>
    <row r="14" spans="2:10" ht="18">
      <c r="B14" s="97"/>
      <c r="C14" s="97"/>
      <c r="D14" s="97"/>
      <c r="E14" s="97"/>
      <c r="F14" s="97"/>
      <c r="G14" s="97"/>
      <c r="J14" s="99"/>
    </row>
    <row r="15" spans="2:10" ht="18">
      <c r="B15" s="97"/>
      <c r="C15" s="97"/>
      <c r="D15" s="97"/>
      <c r="E15" s="97"/>
      <c r="F15" s="97"/>
      <c r="G15" s="97"/>
      <c r="J15" s="99"/>
    </row>
    <row r="16" spans="2:10" ht="18">
      <c r="B16" s="97"/>
      <c r="C16" s="97"/>
      <c r="D16" s="97"/>
      <c r="E16" s="97"/>
      <c r="F16" s="97"/>
      <c r="G16" s="97"/>
      <c r="J16" s="99"/>
    </row>
    <row r="17" spans="2:7" ht="2.25" customHeight="1">
      <c r="B17" s="97"/>
      <c r="C17" s="97"/>
      <c r="D17" s="97"/>
      <c r="E17" s="97"/>
      <c r="F17" s="97"/>
      <c r="G17" s="97"/>
    </row>
    <row r="18" spans="2:7" ht="2.25" hidden="1" customHeight="1">
      <c r="B18" s="97"/>
      <c r="C18" s="97"/>
      <c r="D18" s="97"/>
      <c r="E18" s="97"/>
      <c r="F18" s="97"/>
      <c r="G18" s="97"/>
    </row>
    <row r="19" spans="2:7" ht="15" hidden="1" customHeight="1">
      <c r="B19" s="97"/>
      <c r="C19" s="97"/>
      <c r="D19" s="97"/>
      <c r="E19" s="97"/>
      <c r="F19" s="97"/>
      <c r="G19" s="97"/>
    </row>
    <row r="20" spans="2:7" ht="16.5">
      <c r="B20" s="100"/>
      <c r="C20" s="100"/>
      <c r="D20" s="100"/>
      <c r="E20" s="100"/>
      <c r="F20" s="100"/>
      <c r="G20" s="100"/>
    </row>
    <row r="21" spans="2:7" ht="16.5">
      <c r="B21" s="96"/>
      <c r="C21" s="96"/>
      <c r="D21" s="96"/>
      <c r="E21" s="96"/>
      <c r="F21" s="96"/>
      <c r="G21" s="101"/>
    </row>
    <row r="22" spans="2:7" ht="16.5">
      <c r="B22" s="96"/>
      <c r="C22" s="96"/>
      <c r="D22" s="96"/>
      <c r="E22" s="96"/>
      <c r="F22" s="96"/>
      <c r="G22" s="102" t="s">
        <v>790</v>
      </c>
    </row>
    <row r="23" spans="2:7" ht="16.5">
      <c r="B23" s="96"/>
      <c r="C23" s="96"/>
      <c r="D23" s="96"/>
      <c r="E23" s="96"/>
      <c r="F23" s="96"/>
      <c r="G23" s="102"/>
    </row>
    <row r="24" spans="2:7" ht="16.5">
      <c r="B24" s="96"/>
      <c r="C24" s="96"/>
      <c r="D24" s="96"/>
      <c r="E24" s="96"/>
      <c r="F24" s="96"/>
      <c r="G24" s="96"/>
    </row>
    <row r="25" spans="2:7" ht="16.5" customHeight="1">
      <c r="B25" s="103" t="s">
        <v>791</v>
      </c>
      <c r="C25" s="103"/>
      <c r="D25" s="103"/>
      <c r="E25" s="103"/>
      <c r="F25" s="103"/>
      <c r="G25" s="103"/>
    </row>
    <row r="26" spans="2:7" ht="16.5" customHeight="1">
      <c r="B26" s="104"/>
      <c r="C26" s="104"/>
      <c r="D26" s="104"/>
      <c r="E26" s="104"/>
      <c r="F26" s="104"/>
      <c r="G26" s="104"/>
    </row>
    <row r="27" spans="2:7" ht="16.5">
      <c r="B27" s="96"/>
      <c r="C27" s="96"/>
      <c r="D27" s="96"/>
      <c r="E27" s="96"/>
      <c r="F27" s="96"/>
      <c r="G27" s="96"/>
    </row>
    <row r="28" spans="2:7" ht="16.5">
      <c r="B28" s="96"/>
      <c r="C28" s="96"/>
      <c r="D28" s="96"/>
      <c r="E28" s="96"/>
      <c r="F28" s="96"/>
      <c r="G28" s="96"/>
    </row>
    <row r="29" spans="2:7" ht="16.5">
      <c r="B29" s="96"/>
      <c r="C29" s="96"/>
      <c r="D29" s="96"/>
      <c r="E29" s="96"/>
      <c r="F29" s="96"/>
      <c r="G29" s="96"/>
    </row>
    <row r="30" spans="2:7" ht="16.5">
      <c r="B30" s="96"/>
      <c r="C30" s="96"/>
      <c r="D30" s="96"/>
      <c r="E30" s="96"/>
      <c r="F30" s="96"/>
      <c r="G30" s="96"/>
    </row>
    <row r="31" spans="2:7" ht="16.5">
      <c r="B31" s="105"/>
      <c r="C31" s="105"/>
      <c r="D31" s="96"/>
      <c r="E31" s="105"/>
      <c r="F31" s="105"/>
    </row>
    <row r="32" spans="2:7" ht="16.5">
      <c r="B32" s="105"/>
      <c r="C32" s="105"/>
      <c r="D32" s="96"/>
      <c r="E32" s="105"/>
      <c r="F32" s="105"/>
    </row>
    <row r="33" spans="2:7" ht="16.5">
      <c r="B33" s="105"/>
      <c r="C33" s="105"/>
      <c r="D33" s="96"/>
      <c r="E33" s="105"/>
      <c r="F33" s="105"/>
    </row>
    <row r="34" spans="2:7" ht="16.5">
      <c r="B34" s="106"/>
      <c r="C34" s="106"/>
      <c r="D34" s="106"/>
      <c r="E34" s="107"/>
      <c r="F34" s="107"/>
      <c r="G34" s="108"/>
    </row>
    <row r="35" spans="2:7" ht="16.5">
      <c r="B35" s="109" t="s">
        <v>792</v>
      </c>
      <c r="C35" s="109"/>
      <c r="D35" s="109"/>
      <c r="E35" s="104"/>
      <c r="F35" s="104"/>
      <c r="G35" s="105" t="s">
        <v>793</v>
      </c>
    </row>
    <row r="36" spans="2:7" ht="16.5">
      <c r="B36" s="96"/>
      <c r="C36" s="96"/>
      <c r="D36" s="96"/>
      <c r="E36" s="96"/>
      <c r="F36" s="96"/>
      <c r="G36" s="96"/>
    </row>
    <row r="37" spans="2:7" ht="16.5">
      <c r="B37" s="96"/>
      <c r="C37" s="96"/>
      <c r="D37" s="96"/>
      <c r="E37" s="96"/>
      <c r="F37" s="96"/>
      <c r="G37" s="96"/>
    </row>
    <row r="38" spans="2:7" ht="16.5">
      <c r="B38" s="96" t="s">
        <v>794</v>
      </c>
      <c r="C38" s="96"/>
      <c r="D38" s="96"/>
      <c r="E38" s="96"/>
      <c r="F38" s="96"/>
      <c r="G38" s="96"/>
    </row>
    <row r="39" spans="2:7" ht="16.5">
      <c r="B39" s="96"/>
      <c r="C39" s="96"/>
      <c r="D39" s="96"/>
      <c r="E39" s="96"/>
      <c r="F39" s="96"/>
      <c r="G39" s="96"/>
    </row>
    <row r="40" spans="2:7" ht="16.5">
      <c r="B40" s="96"/>
      <c r="C40" s="96"/>
      <c r="D40" s="96"/>
      <c r="E40" s="96"/>
      <c r="F40" s="96"/>
      <c r="G40" s="96"/>
    </row>
    <row r="41" spans="2:7" ht="16.5">
      <c r="B41" s="96"/>
      <c r="C41" s="96"/>
      <c r="D41" s="96"/>
      <c r="E41" s="96"/>
      <c r="F41" s="96"/>
      <c r="G41" s="96"/>
    </row>
  </sheetData>
  <mergeCells count="9">
    <mergeCell ref="B25:G25"/>
    <mergeCell ref="B34:D34"/>
    <mergeCell ref="B35:D35"/>
    <mergeCell ref="B4:G4"/>
    <mergeCell ref="B5:G5"/>
    <mergeCell ref="B6:G6"/>
    <mergeCell ref="B7:G7"/>
    <mergeCell ref="B8:G8"/>
    <mergeCell ref="B12:G19"/>
  </mergeCells>
  <printOptions horizontalCentered="1"/>
  <pageMargins left="0.7" right="0.7" top="0.75" bottom="0.75" header="0.3" footer="0.3"/>
  <pageSetup paperSize="226"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E37" sqref="E37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>
      <c r="B2" s="9" t="s">
        <v>124</v>
      </c>
      <c r="C2" s="2"/>
      <c r="D2" s="2"/>
      <c r="E2" s="2"/>
      <c r="F2" s="2"/>
      <c r="G2" s="2"/>
      <c r="H2" s="2"/>
      <c r="I2" s="2"/>
    </row>
    <row r="3" spans="2:9" hidden="1">
      <c r="B3" s="9" t="s">
        <v>8</v>
      </c>
      <c r="C3" s="2"/>
      <c r="D3" s="2"/>
      <c r="E3" s="2"/>
      <c r="F3" s="2"/>
      <c r="G3" s="2"/>
      <c r="H3" s="2"/>
      <c r="I3" s="2"/>
    </row>
    <row r="4" spans="2:9" hidden="1">
      <c r="B4" s="2"/>
      <c r="C4" s="2"/>
      <c r="D4" s="2"/>
      <c r="E4" s="2"/>
      <c r="F4" s="2"/>
      <c r="G4" s="2"/>
      <c r="H4" s="2"/>
      <c r="I4" s="2"/>
    </row>
    <row r="5" spans="2:9" hidden="1">
      <c r="B5" s="2"/>
      <c r="C5" s="2"/>
      <c r="D5" s="2"/>
      <c r="E5" s="2"/>
      <c r="F5" s="2"/>
      <c r="G5" s="2"/>
      <c r="H5" s="2"/>
      <c r="I5" s="2"/>
    </row>
    <row r="6" spans="2:9" hidden="1">
      <c r="B6" s="2"/>
      <c r="C6" s="2"/>
      <c r="D6" s="2"/>
      <c r="E6" s="2"/>
      <c r="F6" s="2"/>
      <c r="G6" s="2"/>
      <c r="H6" s="2"/>
      <c r="I6" s="2"/>
    </row>
    <row r="7" spans="2:9" ht="17.25">
      <c r="B7" s="2"/>
      <c r="C7" s="45" t="str">
        <f>UPPER('Data Umum'!D7)</f>
        <v/>
      </c>
      <c r="D7" s="45"/>
      <c r="E7" s="45"/>
      <c r="F7" s="45"/>
      <c r="G7" s="45"/>
      <c r="H7" s="45"/>
      <c r="I7" s="2"/>
    </row>
    <row r="8" spans="2:9">
      <c r="B8" s="2"/>
      <c r="C8" s="2"/>
      <c r="D8" s="2"/>
      <c r="E8" s="2"/>
      <c r="F8" s="2"/>
      <c r="G8" s="2"/>
      <c r="H8" s="2"/>
      <c r="I8" s="2"/>
    </row>
    <row r="9" spans="2:9">
      <c r="B9" s="2"/>
      <c r="C9" s="46" t="s">
        <v>125</v>
      </c>
      <c r="D9" s="46"/>
      <c r="E9" s="46"/>
      <c r="F9" s="46"/>
      <c r="G9" s="46"/>
      <c r="H9" s="46"/>
      <c r="I9" s="2"/>
    </row>
    <row r="10" spans="2:9">
      <c r="B10" s="2"/>
      <c r="C10" s="46"/>
      <c r="D10" s="46"/>
      <c r="E10" s="46"/>
      <c r="F10" s="46"/>
      <c r="G10" s="46"/>
      <c r="H10" s="46"/>
      <c r="I10" s="2"/>
    </row>
    <row r="11" spans="2:9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47"/>
      <c r="I11" s="2"/>
    </row>
    <row r="12" spans="2:9" hidden="1">
      <c r="B12" s="2"/>
      <c r="C12" s="2"/>
      <c r="D12" s="2"/>
      <c r="E12" s="2"/>
      <c r="F12" s="2"/>
      <c r="G12" s="2"/>
      <c r="H12" s="2"/>
      <c r="I12" s="2"/>
    </row>
    <row r="13" spans="2:9">
      <c r="B13" s="2"/>
      <c r="C13" s="48"/>
      <c r="D13" s="48"/>
      <c r="E13" s="48"/>
      <c r="F13" s="48"/>
      <c r="G13" s="48"/>
      <c r="H13" s="48"/>
      <c r="I13" s="2"/>
    </row>
    <row r="14" spans="2:9">
      <c r="B14" s="2"/>
      <c r="C14" s="40" t="s">
        <v>126</v>
      </c>
      <c r="D14" s="38"/>
      <c r="E14" s="40" t="str">
        <f>""</f>
        <v/>
      </c>
      <c r="F14" s="38"/>
      <c r="G14" s="40" t="str">
        <f>"Kepemilikan Saham"</f>
        <v>Kepemilikan Saham</v>
      </c>
      <c r="H14" s="38"/>
      <c r="I14" s="2"/>
    </row>
    <row r="15" spans="2:9">
      <c r="B15" s="2"/>
      <c r="C15" s="41"/>
      <c r="D15" s="42"/>
      <c r="E15" s="43" t="str">
        <f>"Nama Pemegang Saham"</f>
        <v>Nama Pemegang Saham</v>
      </c>
      <c r="F15" s="43" t="str">
        <f>"Pemegang Saham Pengendali"</f>
        <v>Pemegang Saham Pengendali</v>
      </c>
      <c r="G15" s="43" t="str">
        <f>"Rupiah"</f>
        <v>Rupiah</v>
      </c>
      <c r="H15" s="43" t="str">
        <f>"Persentase"</f>
        <v>Persentase</v>
      </c>
      <c r="I15" s="2"/>
    </row>
    <row r="16" spans="2:9">
      <c r="B16" s="2"/>
      <c r="C16" s="37" t="s">
        <v>8</v>
      </c>
      <c r="D16" s="38"/>
      <c r="E16" s="34" t="s">
        <v>103</v>
      </c>
      <c r="F16" s="34" t="s">
        <v>103</v>
      </c>
      <c r="G16" s="51">
        <v>0</v>
      </c>
      <c r="H16" s="52">
        <v>0</v>
      </c>
      <c r="I16" s="2"/>
    </row>
    <row r="17" spans="2:9">
      <c r="B17" s="2"/>
      <c r="C17" s="37" t="s">
        <v>127</v>
      </c>
      <c r="D17" s="38"/>
      <c r="E17" s="34" t="s">
        <v>103</v>
      </c>
      <c r="F17" s="34" t="s">
        <v>103</v>
      </c>
      <c r="G17" s="51">
        <v>0</v>
      </c>
      <c r="H17" s="52">
        <v>0</v>
      </c>
      <c r="I17" s="2"/>
    </row>
    <row r="18" spans="2:9">
      <c r="B18" s="2"/>
      <c r="C18" s="37" t="s">
        <v>128</v>
      </c>
      <c r="D18" s="38"/>
      <c r="E18" s="34" t="s">
        <v>103</v>
      </c>
      <c r="F18" s="34" t="s">
        <v>103</v>
      </c>
      <c r="G18" s="51">
        <v>0</v>
      </c>
      <c r="H18" s="52">
        <v>0</v>
      </c>
      <c r="I18" s="2"/>
    </row>
    <row r="19" spans="2:9">
      <c r="B19" s="2"/>
      <c r="C19" s="37" t="s">
        <v>129</v>
      </c>
      <c r="D19" s="38"/>
      <c r="E19" s="34" t="s">
        <v>103</v>
      </c>
      <c r="F19" s="34" t="s">
        <v>103</v>
      </c>
      <c r="G19" s="51">
        <v>0</v>
      </c>
      <c r="H19" s="52">
        <v>0</v>
      </c>
      <c r="I19" s="2"/>
    </row>
    <row r="20" spans="2:9">
      <c r="B20" s="2"/>
      <c r="C20" s="37" t="s">
        <v>130</v>
      </c>
      <c r="D20" s="38"/>
      <c r="E20" s="34" t="s">
        <v>103</v>
      </c>
      <c r="F20" s="34" t="s">
        <v>103</v>
      </c>
      <c r="G20" s="51">
        <v>0</v>
      </c>
      <c r="H20" s="52">
        <v>0</v>
      </c>
      <c r="I20" s="2"/>
    </row>
    <row r="21" spans="2:9">
      <c r="B21" s="2"/>
      <c r="C21" s="37" t="s">
        <v>131</v>
      </c>
      <c r="D21" s="38"/>
      <c r="E21" s="34" t="s">
        <v>103</v>
      </c>
      <c r="F21" s="34" t="s">
        <v>103</v>
      </c>
      <c r="G21" s="51">
        <v>0</v>
      </c>
      <c r="H21" s="52">
        <v>0</v>
      </c>
      <c r="I21" s="2"/>
    </row>
    <row r="22" spans="2:9">
      <c r="B22" s="2"/>
      <c r="C22" s="37" t="s">
        <v>132</v>
      </c>
      <c r="D22" s="38"/>
      <c r="E22" s="34" t="s">
        <v>103</v>
      </c>
      <c r="F22" s="34" t="s">
        <v>103</v>
      </c>
      <c r="G22" s="51">
        <v>0</v>
      </c>
      <c r="H22" s="52">
        <v>0</v>
      </c>
      <c r="I22" s="2"/>
    </row>
    <row r="23" spans="2:9">
      <c r="B23" s="2"/>
      <c r="C23" s="37" t="s">
        <v>133</v>
      </c>
      <c r="D23" s="38"/>
      <c r="E23" s="34" t="s">
        <v>103</v>
      </c>
      <c r="F23" s="34" t="s">
        <v>103</v>
      </c>
      <c r="G23" s="51">
        <v>0</v>
      </c>
      <c r="H23" s="52">
        <v>0</v>
      </c>
      <c r="I23" s="2"/>
    </row>
    <row r="24" spans="2:9">
      <c r="B24" s="2"/>
      <c r="C24" s="37" t="s">
        <v>134</v>
      </c>
      <c r="D24" s="38"/>
      <c r="E24" s="34" t="s">
        <v>103</v>
      </c>
      <c r="F24" s="34" t="s">
        <v>103</v>
      </c>
      <c r="G24" s="51">
        <v>0</v>
      </c>
      <c r="H24" s="52">
        <v>0</v>
      </c>
      <c r="I24" s="2"/>
    </row>
    <row r="25" spans="2:9">
      <c r="B25" s="2"/>
      <c r="C25" s="37" t="s">
        <v>135</v>
      </c>
      <c r="D25" s="38"/>
      <c r="E25" s="34" t="s">
        <v>103</v>
      </c>
      <c r="F25" s="34" t="s">
        <v>103</v>
      </c>
      <c r="G25" s="51">
        <v>0</v>
      </c>
      <c r="H25" s="52">
        <v>0</v>
      </c>
      <c r="I25" s="2"/>
    </row>
    <row r="26" spans="2:9">
      <c r="B26" s="2"/>
      <c r="C26" s="37" t="s">
        <v>136</v>
      </c>
      <c r="D26" s="38"/>
      <c r="E26" s="34" t="s">
        <v>103</v>
      </c>
      <c r="F26" s="34" t="s">
        <v>103</v>
      </c>
      <c r="G26" s="51">
        <v>0</v>
      </c>
      <c r="H26" s="52">
        <v>0</v>
      </c>
      <c r="I26" s="2"/>
    </row>
    <row r="27" spans="2:9">
      <c r="B27" s="2"/>
      <c r="C27" s="37" t="s">
        <v>137</v>
      </c>
      <c r="D27" s="38"/>
      <c r="E27" s="34" t="s">
        <v>103</v>
      </c>
      <c r="F27" s="34" t="s">
        <v>103</v>
      </c>
      <c r="G27" s="51">
        <v>0</v>
      </c>
      <c r="H27" s="52">
        <v>0</v>
      </c>
      <c r="I27" s="2"/>
    </row>
    <row r="28" spans="2:9">
      <c r="B28" s="2"/>
      <c r="C28" s="37" t="s">
        <v>138</v>
      </c>
      <c r="D28" s="38"/>
      <c r="E28" s="34" t="s">
        <v>103</v>
      </c>
      <c r="F28" s="34" t="s">
        <v>103</v>
      </c>
      <c r="G28" s="51">
        <v>0</v>
      </c>
      <c r="H28" s="52">
        <v>0</v>
      </c>
      <c r="I28" s="2"/>
    </row>
    <row r="29" spans="2:9">
      <c r="B29" s="2"/>
      <c r="C29" s="37" t="s">
        <v>139</v>
      </c>
      <c r="D29" s="38"/>
      <c r="E29" s="34" t="s">
        <v>103</v>
      </c>
      <c r="F29" s="34" t="s">
        <v>103</v>
      </c>
      <c r="G29" s="51">
        <v>0</v>
      </c>
      <c r="H29" s="52">
        <v>0</v>
      </c>
      <c r="I29" s="2"/>
    </row>
    <row r="30" spans="2:9">
      <c r="B30" s="2"/>
      <c r="C30" s="37" t="s">
        <v>140</v>
      </c>
      <c r="D30" s="38"/>
      <c r="E30" s="34" t="s">
        <v>103</v>
      </c>
      <c r="F30" s="34" t="s">
        <v>103</v>
      </c>
      <c r="G30" s="51">
        <v>0</v>
      </c>
      <c r="H30" s="52">
        <v>0</v>
      </c>
      <c r="I30" s="2"/>
    </row>
    <row r="31" spans="2:9">
      <c r="B31" s="2"/>
      <c r="C31" s="37" t="s">
        <v>141</v>
      </c>
      <c r="D31" s="38"/>
      <c r="E31" s="34" t="s">
        <v>103</v>
      </c>
      <c r="F31" s="34" t="s">
        <v>103</v>
      </c>
      <c r="G31" s="51">
        <v>0</v>
      </c>
      <c r="H31" s="52">
        <v>0</v>
      </c>
      <c r="I31" s="2"/>
    </row>
    <row r="32" spans="2:9">
      <c r="B32" s="2"/>
      <c r="C32" s="37" t="s">
        <v>142</v>
      </c>
      <c r="D32" s="38"/>
      <c r="E32" s="34" t="s">
        <v>103</v>
      </c>
      <c r="F32" s="34" t="s">
        <v>103</v>
      </c>
      <c r="G32" s="51">
        <v>0</v>
      </c>
      <c r="H32" s="52">
        <v>0</v>
      </c>
      <c r="I32" s="2"/>
    </row>
    <row r="33" spans="2:9">
      <c r="B33" s="2"/>
      <c r="C33" s="37" t="s">
        <v>143</v>
      </c>
      <c r="D33" s="38"/>
      <c r="E33" s="34" t="s">
        <v>103</v>
      </c>
      <c r="F33" s="34" t="s">
        <v>103</v>
      </c>
      <c r="G33" s="51">
        <v>0</v>
      </c>
      <c r="H33" s="52">
        <v>0</v>
      </c>
      <c r="I33" s="2"/>
    </row>
    <row r="34" spans="2:9">
      <c r="B34" s="2"/>
      <c r="C34" s="37" t="s">
        <v>144</v>
      </c>
      <c r="D34" s="38"/>
      <c r="E34" s="34" t="s">
        <v>103</v>
      </c>
      <c r="F34" s="34" t="s">
        <v>103</v>
      </c>
      <c r="G34" s="51">
        <v>0</v>
      </c>
      <c r="H34" s="52">
        <v>0</v>
      </c>
      <c r="I34" s="2"/>
    </row>
    <row r="35" spans="2:9">
      <c r="B35" s="2"/>
      <c r="C35" s="37" t="s">
        <v>145</v>
      </c>
      <c r="D35" s="38"/>
      <c r="E35" s="34" t="s">
        <v>103</v>
      </c>
      <c r="F35" s="34" t="s">
        <v>103</v>
      </c>
      <c r="G35" s="51">
        <v>0</v>
      </c>
      <c r="H35" s="52">
        <v>0</v>
      </c>
      <c r="I35" s="2"/>
    </row>
    <row r="36" spans="2:9">
      <c r="B36" s="2"/>
      <c r="C36" s="37" t="s">
        <v>146</v>
      </c>
      <c r="D36" s="38"/>
      <c r="E36" s="34" t="s">
        <v>103</v>
      </c>
      <c r="F36" s="34" t="s">
        <v>103</v>
      </c>
      <c r="G36" s="51">
        <v>0</v>
      </c>
      <c r="H36" s="52">
        <v>0</v>
      </c>
      <c r="I36" s="2"/>
    </row>
    <row r="37" spans="2:9">
      <c r="B37" s="2"/>
      <c r="C37" s="37" t="s">
        <v>147</v>
      </c>
      <c r="D37" s="38"/>
      <c r="E37" s="34" t="s">
        <v>103</v>
      </c>
      <c r="F37" s="34" t="s">
        <v>103</v>
      </c>
      <c r="G37" s="51">
        <v>0</v>
      </c>
      <c r="H37" s="52">
        <v>0</v>
      </c>
      <c r="I37" s="2"/>
    </row>
    <row r="38" spans="2:9">
      <c r="B38" s="2"/>
      <c r="C38" s="37" t="s">
        <v>148</v>
      </c>
      <c r="D38" s="38"/>
      <c r="E38" s="34" t="s">
        <v>103</v>
      </c>
      <c r="F38" s="34" t="s">
        <v>103</v>
      </c>
      <c r="G38" s="51">
        <v>0</v>
      </c>
      <c r="H38" s="52">
        <v>0</v>
      </c>
      <c r="I38" s="2"/>
    </row>
    <row r="39" spans="2:9">
      <c r="B39" s="2"/>
      <c r="C39" s="37" t="s">
        <v>149</v>
      </c>
      <c r="D39" s="38"/>
      <c r="E39" s="34" t="s">
        <v>103</v>
      </c>
      <c r="F39" s="34" t="s">
        <v>103</v>
      </c>
      <c r="G39" s="51">
        <v>0</v>
      </c>
      <c r="H39" s="52">
        <v>0</v>
      </c>
      <c r="I39" s="2"/>
    </row>
    <row r="40" spans="2:9">
      <c r="B40" s="2"/>
      <c r="C40" s="37" t="s">
        <v>150</v>
      </c>
      <c r="D40" s="38"/>
      <c r="E40" s="34" t="s">
        <v>103</v>
      </c>
      <c r="F40" s="34" t="s">
        <v>103</v>
      </c>
      <c r="G40" s="51">
        <v>0</v>
      </c>
      <c r="H40" s="52">
        <v>0</v>
      </c>
      <c r="I40" s="2"/>
    </row>
    <row r="41" spans="2:9">
      <c r="B41" s="2"/>
      <c r="C41" s="37" t="s">
        <v>151</v>
      </c>
      <c r="D41" s="38"/>
      <c r="E41" s="34" t="s">
        <v>103</v>
      </c>
      <c r="F41" s="34" t="s">
        <v>103</v>
      </c>
      <c r="G41" s="51">
        <v>0</v>
      </c>
      <c r="H41" s="52">
        <v>0</v>
      </c>
      <c r="I41" s="2"/>
    </row>
    <row r="42" spans="2:9">
      <c r="B42" s="2"/>
      <c r="C42" s="37" t="s">
        <v>152</v>
      </c>
      <c r="D42" s="38"/>
      <c r="E42" s="34" t="s">
        <v>103</v>
      </c>
      <c r="F42" s="34" t="s">
        <v>103</v>
      </c>
      <c r="G42" s="51">
        <v>0</v>
      </c>
      <c r="H42" s="52">
        <v>0</v>
      </c>
      <c r="I42" s="2"/>
    </row>
    <row r="43" spans="2:9">
      <c r="B43" s="2"/>
      <c r="C43" s="37" t="s">
        <v>153</v>
      </c>
      <c r="D43" s="38"/>
      <c r="E43" s="34" t="s">
        <v>103</v>
      </c>
      <c r="F43" s="34" t="s">
        <v>103</v>
      </c>
      <c r="G43" s="51">
        <v>0</v>
      </c>
      <c r="H43" s="52">
        <v>0</v>
      </c>
      <c r="I43" s="2"/>
    </row>
    <row r="44" spans="2:9">
      <c r="B44" s="2"/>
      <c r="C44" s="37" t="s">
        <v>154</v>
      </c>
      <c r="D44" s="38"/>
      <c r="E44" s="34" t="s">
        <v>103</v>
      </c>
      <c r="F44" s="34" t="s">
        <v>103</v>
      </c>
      <c r="G44" s="51">
        <v>0</v>
      </c>
      <c r="H44" s="52">
        <v>0</v>
      </c>
      <c r="I44" s="2"/>
    </row>
    <row r="45" spans="2:9">
      <c r="B45" s="2"/>
      <c r="C45" s="37" t="s">
        <v>155</v>
      </c>
      <c r="D45" s="38"/>
      <c r="E45" s="34" t="s">
        <v>103</v>
      </c>
      <c r="F45" s="34" t="s">
        <v>103</v>
      </c>
      <c r="G45" s="51">
        <v>0</v>
      </c>
      <c r="H45" s="52">
        <v>0</v>
      </c>
      <c r="I45" s="2"/>
    </row>
    <row r="46" spans="2:9">
      <c r="B46" s="2"/>
      <c r="C46" s="37" t="s">
        <v>156</v>
      </c>
      <c r="D46" s="38"/>
      <c r="E46" s="34" t="s">
        <v>103</v>
      </c>
      <c r="F46" s="34" t="s">
        <v>103</v>
      </c>
      <c r="G46" s="51">
        <v>0</v>
      </c>
      <c r="H46" s="52">
        <v>0</v>
      </c>
      <c r="I46" s="2"/>
    </row>
    <row r="47" spans="2:9">
      <c r="B47" s="2"/>
      <c r="C47" s="37" t="s">
        <v>157</v>
      </c>
      <c r="D47" s="38"/>
      <c r="E47" s="34" t="s">
        <v>103</v>
      </c>
      <c r="F47" s="34" t="s">
        <v>103</v>
      </c>
      <c r="G47" s="51">
        <v>0</v>
      </c>
      <c r="H47" s="52">
        <v>0</v>
      </c>
      <c r="I47" s="2"/>
    </row>
    <row r="48" spans="2:9">
      <c r="B48" s="2"/>
      <c r="C48" s="37" t="s">
        <v>158</v>
      </c>
      <c r="D48" s="38"/>
      <c r="E48" s="34" t="s">
        <v>103</v>
      </c>
      <c r="F48" s="34" t="s">
        <v>103</v>
      </c>
      <c r="G48" s="51">
        <v>0</v>
      </c>
      <c r="H48" s="52">
        <v>0</v>
      </c>
      <c r="I48" s="2"/>
    </row>
    <row r="49" spans="2:9">
      <c r="B49" s="2"/>
      <c r="C49" s="37" t="s">
        <v>159</v>
      </c>
      <c r="D49" s="38"/>
      <c r="E49" s="34" t="s">
        <v>103</v>
      </c>
      <c r="F49" s="34" t="s">
        <v>103</v>
      </c>
      <c r="G49" s="51">
        <v>0</v>
      </c>
      <c r="H49" s="52">
        <v>0</v>
      </c>
      <c r="I49" s="2"/>
    </row>
    <row r="50" spans="2:9">
      <c r="B50" s="2"/>
      <c r="C50" s="37" t="s">
        <v>160</v>
      </c>
      <c r="D50" s="38"/>
      <c r="E50" s="34" t="s">
        <v>103</v>
      </c>
      <c r="F50" s="34" t="s">
        <v>103</v>
      </c>
      <c r="G50" s="51">
        <v>0</v>
      </c>
      <c r="H50" s="52">
        <v>0</v>
      </c>
      <c r="I50" s="2"/>
    </row>
    <row r="51" spans="2:9">
      <c r="B51" s="2"/>
      <c r="C51" s="37" t="s">
        <v>161</v>
      </c>
      <c r="D51" s="38"/>
      <c r="E51" s="34" t="s">
        <v>103</v>
      </c>
      <c r="F51" s="34" t="s">
        <v>103</v>
      </c>
      <c r="G51" s="51">
        <v>0</v>
      </c>
      <c r="H51" s="52">
        <v>0</v>
      </c>
      <c r="I51" s="2"/>
    </row>
    <row r="52" spans="2:9">
      <c r="B52" s="2"/>
      <c r="C52" s="37" t="s">
        <v>162</v>
      </c>
      <c r="D52" s="38"/>
      <c r="E52" s="34" t="s">
        <v>103</v>
      </c>
      <c r="F52" s="34" t="s">
        <v>103</v>
      </c>
      <c r="G52" s="51">
        <v>0</v>
      </c>
      <c r="H52" s="52">
        <v>0</v>
      </c>
      <c r="I52" s="2"/>
    </row>
    <row r="53" spans="2:9">
      <c r="B53" s="2"/>
      <c r="C53" s="37" t="s">
        <v>163</v>
      </c>
      <c r="D53" s="38"/>
      <c r="E53" s="34" t="s">
        <v>103</v>
      </c>
      <c r="F53" s="34" t="s">
        <v>103</v>
      </c>
      <c r="G53" s="51">
        <v>0</v>
      </c>
      <c r="H53" s="52">
        <v>0</v>
      </c>
      <c r="I53" s="2"/>
    </row>
    <row r="54" spans="2:9">
      <c r="B54" s="2"/>
      <c r="C54" s="37" t="s">
        <v>164</v>
      </c>
      <c r="D54" s="38"/>
      <c r="E54" s="34" t="s">
        <v>103</v>
      </c>
      <c r="F54" s="34" t="s">
        <v>103</v>
      </c>
      <c r="G54" s="51">
        <v>0</v>
      </c>
      <c r="H54" s="52">
        <v>0</v>
      </c>
      <c r="I54" s="2"/>
    </row>
    <row r="55" spans="2:9">
      <c r="B55" s="2"/>
      <c r="C55" s="37" t="s">
        <v>165</v>
      </c>
      <c r="D55" s="38"/>
      <c r="E55" s="34" t="s">
        <v>103</v>
      </c>
      <c r="F55" s="34" t="s">
        <v>103</v>
      </c>
      <c r="G55" s="51">
        <v>0</v>
      </c>
      <c r="H55" s="52">
        <v>0</v>
      </c>
      <c r="I55" s="2"/>
    </row>
    <row r="56" spans="2:9">
      <c r="B56" s="2"/>
      <c r="C56" s="37" t="s">
        <v>166</v>
      </c>
      <c r="D56" s="38"/>
      <c r="E56" s="34" t="s">
        <v>103</v>
      </c>
      <c r="F56" s="34" t="s">
        <v>103</v>
      </c>
      <c r="G56" s="51">
        <v>0</v>
      </c>
      <c r="H56" s="52">
        <v>0</v>
      </c>
      <c r="I56" s="2"/>
    </row>
    <row r="57" spans="2:9">
      <c r="B57" s="2"/>
      <c r="C57" s="37" t="s">
        <v>167</v>
      </c>
      <c r="D57" s="38"/>
      <c r="E57" s="34" t="s">
        <v>103</v>
      </c>
      <c r="F57" s="34" t="s">
        <v>103</v>
      </c>
      <c r="G57" s="51">
        <v>0</v>
      </c>
      <c r="H57" s="52">
        <v>0</v>
      </c>
      <c r="I57" s="2"/>
    </row>
    <row r="58" spans="2:9">
      <c r="B58" s="2"/>
      <c r="C58" s="37" t="s">
        <v>168</v>
      </c>
      <c r="D58" s="38"/>
      <c r="E58" s="34" t="s">
        <v>103</v>
      </c>
      <c r="F58" s="34" t="s">
        <v>103</v>
      </c>
      <c r="G58" s="51">
        <v>0</v>
      </c>
      <c r="H58" s="52">
        <v>0</v>
      </c>
      <c r="I58" s="2"/>
    </row>
    <row r="59" spans="2:9">
      <c r="B59" s="2"/>
      <c r="C59" s="37" t="s">
        <v>169</v>
      </c>
      <c r="D59" s="38"/>
      <c r="E59" s="34" t="s">
        <v>103</v>
      </c>
      <c r="F59" s="34" t="s">
        <v>103</v>
      </c>
      <c r="G59" s="51">
        <v>0</v>
      </c>
      <c r="H59" s="52">
        <v>0</v>
      </c>
      <c r="I59" s="2"/>
    </row>
    <row r="60" spans="2:9">
      <c r="B60" s="2"/>
      <c r="C60" s="37" t="s">
        <v>170</v>
      </c>
      <c r="D60" s="38"/>
      <c r="E60" s="34" t="s">
        <v>103</v>
      </c>
      <c r="F60" s="34" t="s">
        <v>103</v>
      </c>
      <c r="G60" s="51">
        <v>0</v>
      </c>
      <c r="H60" s="52">
        <v>0</v>
      </c>
      <c r="I60" s="2"/>
    </row>
    <row r="61" spans="2:9">
      <c r="B61" s="2"/>
      <c r="C61" s="37" t="s">
        <v>171</v>
      </c>
      <c r="D61" s="38"/>
      <c r="E61" s="34" t="s">
        <v>103</v>
      </c>
      <c r="F61" s="34" t="s">
        <v>103</v>
      </c>
      <c r="G61" s="51">
        <v>0</v>
      </c>
      <c r="H61" s="52">
        <v>0</v>
      </c>
      <c r="I61" s="2"/>
    </row>
    <row r="62" spans="2:9">
      <c r="B62" s="2"/>
      <c r="C62" s="37" t="s">
        <v>172</v>
      </c>
      <c r="D62" s="38"/>
      <c r="E62" s="34" t="s">
        <v>103</v>
      </c>
      <c r="F62" s="34" t="s">
        <v>103</v>
      </c>
      <c r="G62" s="51">
        <v>0</v>
      </c>
      <c r="H62" s="52">
        <v>0</v>
      </c>
      <c r="I62" s="2"/>
    </row>
    <row r="63" spans="2:9">
      <c r="B63" s="2"/>
      <c r="C63" s="37" t="s">
        <v>173</v>
      </c>
      <c r="D63" s="38"/>
      <c r="E63" s="34" t="s">
        <v>103</v>
      </c>
      <c r="F63" s="34" t="s">
        <v>103</v>
      </c>
      <c r="G63" s="51">
        <v>0</v>
      </c>
      <c r="H63" s="52">
        <v>0</v>
      </c>
      <c r="I63" s="2"/>
    </row>
    <row r="64" spans="2:9">
      <c r="B64" s="2"/>
      <c r="C64" s="37" t="s">
        <v>174</v>
      </c>
      <c r="D64" s="38"/>
      <c r="E64" s="34" t="s">
        <v>103</v>
      </c>
      <c r="F64" s="34" t="s">
        <v>103</v>
      </c>
      <c r="G64" s="51">
        <v>0</v>
      </c>
      <c r="H64" s="52">
        <v>0</v>
      </c>
      <c r="I64" s="2"/>
    </row>
    <row r="65" spans="2:9">
      <c r="B65" s="2"/>
      <c r="C65" s="37" t="s">
        <v>175</v>
      </c>
      <c r="D65" s="38"/>
      <c r="E65" s="34" t="s">
        <v>103</v>
      </c>
      <c r="F65" s="34" t="s">
        <v>103</v>
      </c>
      <c r="G65" s="51">
        <v>0</v>
      </c>
      <c r="H65" s="52">
        <v>0</v>
      </c>
      <c r="I65" s="2"/>
    </row>
    <row r="66" spans="2:9">
      <c r="B66" s="2"/>
      <c r="C66" s="37" t="s">
        <v>176</v>
      </c>
      <c r="D66" s="38"/>
      <c r="E66" s="34" t="s">
        <v>103</v>
      </c>
      <c r="F66" s="34" t="s">
        <v>103</v>
      </c>
      <c r="G66" s="51">
        <v>0</v>
      </c>
      <c r="H66" s="52">
        <v>0</v>
      </c>
      <c r="I66" s="2"/>
    </row>
    <row r="67" spans="2:9">
      <c r="B67" s="2"/>
      <c r="C67" s="37" t="s">
        <v>177</v>
      </c>
      <c r="D67" s="38"/>
      <c r="E67" s="34" t="s">
        <v>103</v>
      </c>
      <c r="F67" s="34" t="s">
        <v>103</v>
      </c>
      <c r="G67" s="51">
        <v>0</v>
      </c>
      <c r="H67" s="52">
        <v>0</v>
      </c>
      <c r="I67" s="2"/>
    </row>
    <row r="68" spans="2:9">
      <c r="B68" s="2"/>
      <c r="C68" s="37" t="s">
        <v>178</v>
      </c>
      <c r="D68" s="38"/>
      <c r="E68" s="34" t="s">
        <v>103</v>
      </c>
      <c r="F68" s="34" t="s">
        <v>103</v>
      </c>
      <c r="G68" s="51">
        <v>0</v>
      </c>
      <c r="H68" s="52">
        <v>0</v>
      </c>
      <c r="I68" s="2"/>
    </row>
    <row r="69" spans="2:9">
      <c r="B69" s="2"/>
      <c r="C69" s="37" t="s">
        <v>179</v>
      </c>
      <c r="D69" s="38"/>
      <c r="E69" s="34" t="s">
        <v>103</v>
      </c>
      <c r="F69" s="34" t="s">
        <v>103</v>
      </c>
      <c r="G69" s="51">
        <v>0</v>
      </c>
      <c r="H69" s="52">
        <v>0</v>
      </c>
      <c r="I69" s="2"/>
    </row>
    <row r="70" spans="2:9">
      <c r="B70" s="2"/>
      <c r="C70" s="37" t="s">
        <v>180</v>
      </c>
      <c r="D70" s="38"/>
      <c r="E70" s="34" t="s">
        <v>103</v>
      </c>
      <c r="F70" s="34" t="s">
        <v>103</v>
      </c>
      <c r="G70" s="51">
        <v>0</v>
      </c>
      <c r="H70" s="52">
        <v>0</v>
      </c>
      <c r="I70" s="2"/>
    </row>
    <row r="71" spans="2:9">
      <c r="B71" s="2"/>
      <c r="C71" s="37" t="s">
        <v>181</v>
      </c>
      <c r="D71" s="38"/>
      <c r="E71" s="34" t="s">
        <v>103</v>
      </c>
      <c r="F71" s="34" t="s">
        <v>103</v>
      </c>
      <c r="G71" s="51">
        <v>0</v>
      </c>
      <c r="H71" s="52">
        <v>0</v>
      </c>
      <c r="I71" s="2"/>
    </row>
    <row r="72" spans="2:9">
      <c r="B72" s="2"/>
      <c r="C72" s="37" t="s">
        <v>182</v>
      </c>
      <c r="D72" s="38"/>
      <c r="E72" s="34" t="s">
        <v>103</v>
      </c>
      <c r="F72" s="34" t="s">
        <v>103</v>
      </c>
      <c r="G72" s="51">
        <v>0</v>
      </c>
      <c r="H72" s="52">
        <v>0</v>
      </c>
      <c r="I72" s="2"/>
    </row>
    <row r="73" spans="2:9">
      <c r="B73" s="2"/>
      <c r="C73" s="37" t="s">
        <v>183</v>
      </c>
      <c r="D73" s="38"/>
      <c r="E73" s="34" t="s">
        <v>103</v>
      </c>
      <c r="F73" s="34" t="s">
        <v>103</v>
      </c>
      <c r="G73" s="51">
        <v>0</v>
      </c>
      <c r="H73" s="52">
        <v>0</v>
      </c>
      <c r="I73" s="2"/>
    </row>
    <row r="74" spans="2:9">
      <c r="B74" s="2"/>
      <c r="C74" s="37" t="s">
        <v>184</v>
      </c>
      <c r="D74" s="38"/>
      <c r="E74" s="34" t="s">
        <v>103</v>
      </c>
      <c r="F74" s="34" t="s">
        <v>103</v>
      </c>
      <c r="G74" s="51">
        <v>0</v>
      </c>
      <c r="H74" s="52">
        <v>0</v>
      </c>
      <c r="I74" s="2"/>
    </row>
    <row r="75" spans="2:9">
      <c r="B75" s="2"/>
      <c r="C75" s="37" t="s">
        <v>185</v>
      </c>
      <c r="D75" s="38"/>
      <c r="E75" s="34" t="s">
        <v>103</v>
      </c>
      <c r="F75" s="34" t="s">
        <v>103</v>
      </c>
      <c r="G75" s="51">
        <v>0</v>
      </c>
      <c r="H75" s="52">
        <v>0</v>
      </c>
      <c r="I75" s="2"/>
    </row>
    <row r="76" spans="2:9">
      <c r="B76" s="2"/>
      <c r="C76" s="37" t="s">
        <v>186</v>
      </c>
      <c r="D76" s="38"/>
      <c r="E76" s="34" t="s">
        <v>103</v>
      </c>
      <c r="F76" s="34" t="s">
        <v>103</v>
      </c>
      <c r="G76" s="51">
        <v>0</v>
      </c>
      <c r="H76" s="52">
        <v>0</v>
      </c>
      <c r="I76" s="2"/>
    </row>
    <row r="77" spans="2:9">
      <c r="B77" s="2"/>
      <c r="C77" s="37" t="s">
        <v>187</v>
      </c>
      <c r="D77" s="38"/>
      <c r="E77" s="34" t="s">
        <v>103</v>
      </c>
      <c r="F77" s="34" t="s">
        <v>103</v>
      </c>
      <c r="G77" s="51">
        <v>0</v>
      </c>
      <c r="H77" s="52">
        <v>0</v>
      </c>
      <c r="I77" s="2"/>
    </row>
    <row r="78" spans="2:9">
      <c r="B78" s="2"/>
      <c r="C78" s="37" t="s">
        <v>188</v>
      </c>
      <c r="D78" s="38"/>
      <c r="E78" s="34" t="s">
        <v>103</v>
      </c>
      <c r="F78" s="34" t="s">
        <v>103</v>
      </c>
      <c r="G78" s="51">
        <v>0</v>
      </c>
      <c r="H78" s="52">
        <v>0</v>
      </c>
      <c r="I78" s="2"/>
    </row>
    <row r="79" spans="2:9">
      <c r="B79" s="2"/>
      <c r="C79" s="37" t="s">
        <v>189</v>
      </c>
      <c r="D79" s="38"/>
      <c r="E79" s="34" t="s">
        <v>103</v>
      </c>
      <c r="F79" s="34" t="s">
        <v>103</v>
      </c>
      <c r="G79" s="51">
        <v>0</v>
      </c>
      <c r="H79" s="52">
        <v>0</v>
      </c>
      <c r="I79" s="2"/>
    </row>
    <row r="80" spans="2:9">
      <c r="B80" s="2"/>
      <c r="C80" s="37" t="s">
        <v>190</v>
      </c>
      <c r="D80" s="38"/>
      <c r="E80" s="34" t="s">
        <v>103</v>
      </c>
      <c r="F80" s="34" t="s">
        <v>103</v>
      </c>
      <c r="G80" s="51">
        <v>0</v>
      </c>
      <c r="H80" s="52">
        <v>0</v>
      </c>
      <c r="I80" s="2"/>
    </row>
    <row r="81" spans="2:9">
      <c r="B81" s="2"/>
      <c r="C81" s="37" t="s">
        <v>191</v>
      </c>
      <c r="D81" s="38"/>
      <c r="E81" s="34" t="s">
        <v>103</v>
      </c>
      <c r="F81" s="34" t="s">
        <v>103</v>
      </c>
      <c r="G81" s="51">
        <v>0</v>
      </c>
      <c r="H81" s="52">
        <v>0</v>
      </c>
      <c r="I81" s="2"/>
    </row>
    <row r="82" spans="2:9">
      <c r="B82" s="2"/>
      <c r="C82" s="37" t="s">
        <v>192</v>
      </c>
      <c r="D82" s="38"/>
      <c r="E82" s="34" t="s">
        <v>103</v>
      </c>
      <c r="F82" s="34" t="s">
        <v>103</v>
      </c>
      <c r="G82" s="51">
        <v>0</v>
      </c>
      <c r="H82" s="52">
        <v>0</v>
      </c>
      <c r="I82" s="2"/>
    </row>
    <row r="83" spans="2:9">
      <c r="B83" s="2"/>
      <c r="C83" s="37" t="s">
        <v>193</v>
      </c>
      <c r="D83" s="38"/>
      <c r="E83" s="34" t="s">
        <v>103</v>
      </c>
      <c r="F83" s="34" t="s">
        <v>103</v>
      </c>
      <c r="G83" s="51">
        <v>0</v>
      </c>
      <c r="H83" s="52">
        <v>0</v>
      </c>
      <c r="I83" s="2"/>
    </row>
    <row r="84" spans="2:9">
      <c r="B84" s="2"/>
      <c r="C84" s="37" t="s">
        <v>194</v>
      </c>
      <c r="D84" s="38"/>
      <c r="E84" s="34" t="s">
        <v>103</v>
      </c>
      <c r="F84" s="34" t="s">
        <v>103</v>
      </c>
      <c r="G84" s="51">
        <v>0</v>
      </c>
      <c r="H84" s="52">
        <v>0</v>
      </c>
      <c r="I84" s="2"/>
    </row>
    <row r="85" spans="2:9">
      <c r="B85" s="2"/>
      <c r="C85" s="37" t="s">
        <v>195</v>
      </c>
      <c r="D85" s="38"/>
      <c r="E85" s="34" t="s">
        <v>103</v>
      </c>
      <c r="F85" s="34" t="s">
        <v>103</v>
      </c>
      <c r="G85" s="51">
        <v>0</v>
      </c>
      <c r="H85" s="52">
        <v>0</v>
      </c>
      <c r="I85" s="2"/>
    </row>
    <row r="86" spans="2:9">
      <c r="B86" s="2"/>
      <c r="C86" s="37" t="s">
        <v>196</v>
      </c>
      <c r="D86" s="38"/>
      <c r="E86" s="34" t="s">
        <v>103</v>
      </c>
      <c r="F86" s="34" t="s">
        <v>103</v>
      </c>
      <c r="G86" s="51">
        <v>0</v>
      </c>
      <c r="H86" s="52">
        <v>0</v>
      </c>
      <c r="I86" s="2"/>
    </row>
    <row r="87" spans="2:9">
      <c r="B87" s="2"/>
      <c r="C87" s="37" t="s">
        <v>197</v>
      </c>
      <c r="D87" s="38"/>
      <c r="E87" s="34" t="s">
        <v>103</v>
      </c>
      <c r="F87" s="34" t="s">
        <v>103</v>
      </c>
      <c r="G87" s="51">
        <v>0</v>
      </c>
      <c r="H87" s="52">
        <v>0</v>
      </c>
      <c r="I87" s="2"/>
    </row>
    <row r="88" spans="2:9">
      <c r="B88" s="2"/>
      <c r="C88" s="37" t="s">
        <v>198</v>
      </c>
      <c r="D88" s="38"/>
      <c r="E88" s="34" t="s">
        <v>103</v>
      </c>
      <c r="F88" s="34" t="s">
        <v>103</v>
      </c>
      <c r="G88" s="51">
        <v>0</v>
      </c>
      <c r="H88" s="52">
        <v>0</v>
      </c>
      <c r="I88" s="2"/>
    </row>
    <row r="89" spans="2:9">
      <c r="B89" s="2"/>
      <c r="C89" s="37" t="s">
        <v>199</v>
      </c>
      <c r="D89" s="38"/>
      <c r="E89" s="34" t="s">
        <v>103</v>
      </c>
      <c r="F89" s="34" t="s">
        <v>103</v>
      </c>
      <c r="G89" s="51">
        <v>0</v>
      </c>
      <c r="H89" s="52">
        <v>0</v>
      </c>
      <c r="I89" s="2"/>
    </row>
    <row r="90" spans="2:9">
      <c r="B90" s="2"/>
      <c r="C90" s="37" t="s">
        <v>200</v>
      </c>
      <c r="D90" s="38"/>
      <c r="E90" s="34" t="s">
        <v>103</v>
      </c>
      <c r="F90" s="34" t="s">
        <v>103</v>
      </c>
      <c r="G90" s="51">
        <v>0</v>
      </c>
      <c r="H90" s="52">
        <v>0</v>
      </c>
      <c r="I90" s="2"/>
    </row>
    <row r="91" spans="2:9">
      <c r="B91" s="2"/>
      <c r="C91" s="37" t="s">
        <v>201</v>
      </c>
      <c r="D91" s="38"/>
      <c r="E91" s="34" t="s">
        <v>103</v>
      </c>
      <c r="F91" s="34" t="s">
        <v>103</v>
      </c>
      <c r="G91" s="51">
        <v>0</v>
      </c>
      <c r="H91" s="52">
        <v>0</v>
      </c>
      <c r="I91" s="2"/>
    </row>
    <row r="92" spans="2:9">
      <c r="B92" s="2"/>
      <c r="C92" s="37" t="s">
        <v>202</v>
      </c>
      <c r="D92" s="38"/>
      <c r="E92" s="34" t="s">
        <v>103</v>
      </c>
      <c r="F92" s="34" t="s">
        <v>103</v>
      </c>
      <c r="G92" s="51">
        <v>0</v>
      </c>
      <c r="H92" s="52">
        <v>0</v>
      </c>
      <c r="I92" s="2"/>
    </row>
    <row r="93" spans="2:9">
      <c r="B93" s="2"/>
      <c r="C93" s="37" t="s">
        <v>203</v>
      </c>
      <c r="D93" s="38"/>
      <c r="E93" s="34" t="s">
        <v>103</v>
      </c>
      <c r="F93" s="34" t="s">
        <v>103</v>
      </c>
      <c r="G93" s="51">
        <v>0</v>
      </c>
      <c r="H93" s="52">
        <v>0</v>
      </c>
      <c r="I93" s="2"/>
    </row>
    <row r="94" spans="2:9">
      <c r="B94" s="2"/>
      <c r="C94" s="37" t="s">
        <v>204</v>
      </c>
      <c r="D94" s="38"/>
      <c r="E94" s="34" t="s">
        <v>103</v>
      </c>
      <c r="F94" s="34" t="s">
        <v>103</v>
      </c>
      <c r="G94" s="51">
        <v>0</v>
      </c>
      <c r="H94" s="52">
        <v>0</v>
      </c>
      <c r="I94" s="2"/>
    </row>
    <row r="95" spans="2:9">
      <c r="B95" s="2"/>
      <c r="C95" s="37" t="s">
        <v>205</v>
      </c>
      <c r="D95" s="38"/>
      <c r="E95" s="34" t="s">
        <v>103</v>
      </c>
      <c r="F95" s="34" t="s">
        <v>103</v>
      </c>
      <c r="G95" s="51">
        <v>0</v>
      </c>
      <c r="H95" s="52">
        <v>0</v>
      </c>
      <c r="I95" s="2"/>
    </row>
    <row r="96" spans="2:9">
      <c r="B96" s="2"/>
      <c r="C96" s="37" t="s">
        <v>206</v>
      </c>
      <c r="D96" s="38"/>
      <c r="E96" s="34" t="s">
        <v>103</v>
      </c>
      <c r="F96" s="34" t="s">
        <v>103</v>
      </c>
      <c r="G96" s="51">
        <v>0</v>
      </c>
      <c r="H96" s="52">
        <v>0</v>
      </c>
      <c r="I96" s="2"/>
    </row>
    <row r="97" spans="2:9">
      <c r="B97" s="2"/>
      <c r="C97" s="37" t="s">
        <v>207</v>
      </c>
      <c r="D97" s="38"/>
      <c r="E97" s="34" t="s">
        <v>103</v>
      </c>
      <c r="F97" s="34" t="s">
        <v>103</v>
      </c>
      <c r="G97" s="51">
        <v>0</v>
      </c>
      <c r="H97" s="52">
        <v>0</v>
      </c>
      <c r="I97" s="2"/>
    </row>
    <row r="98" spans="2:9">
      <c r="B98" s="2"/>
      <c r="C98" s="37" t="s">
        <v>208</v>
      </c>
      <c r="D98" s="38"/>
      <c r="E98" s="34" t="s">
        <v>103</v>
      </c>
      <c r="F98" s="34" t="s">
        <v>103</v>
      </c>
      <c r="G98" s="51">
        <v>0</v>
      </c>
      <c r="H98" s="52">
        <v>0</v>
      </c>
      <c r="I98" s="2"/>
    </row>
    <row r="99" spans="2:9">
      <c r="B99" s="2"/>
      <c r="C99" s="37" t="s">
        <v>209</v>
      </c>
      <c r="D99" s="38"/>
      <c r="E99" s="34" t="s">
        <v>103</v>
      </c>
      <c r="F99" s="34" t="s">
        <v>103</v>
      </c>
      <c r="G99" s="51">
        <v>0</v>
      </c>
      <c r="H99" s="52">
        <v>0</v>
      </c>
      <c r="I99" s="2"/>
    </row>
    <row r="100" spans="2:9">
      <c r="B100" s="2"/>
      <c r="C100" s="37" t="s">
        <v>210</v>
      </c>
      <c r="D100" s="38"/>
      <c r="E100" s="34" t="s">
        <v>103</v>
      </c>
      <c r="F100" s="34" t="s">
        <v>103</v>
      </c>
      <c r="G100" s="51">
        <v>0</v>
      </c>
      <c r="H100" s="52">
        <v>0</v>
      </c>
      <c r="I100" s="2"/>
    </row>
    <row r="101" spans="2:9">
      <c r="B101" s="2"/>
      <c r="C101" s="37" t="s">
        <v>211</v>
      </c>
      <c r="D101" s="38"/>
      <c r="E101" s="34" t="s">
        <v>103</v>
      </c>
      <c r="F101" s="34" t="s">
        <v>103</v>
      </c>
      <c r="G101" s="51">
        <v>0</v>
      </c>
      <c r="H101" s="52">
        <v>0</v>
      </c>
      <c r="I101" s="2"/>
    </row>
    <row r="102" spans="2:9">
      <c r="B102" s="2"/>
      <c r="C102" s="37" t="s">
        <v>212</v>
      </c>
      <c r="D102" s="38"/>
      <c r="E102" s="34" t="s">
        <v>103</v>
      </c>
      <c r="F102" s="34" t="s">
        <v>103</v>
      </c>
      <c r="G102" s="51">
        <v>0</v>
      </c>
      <c r="H102" s="52">
        <v>0</v>
      </c>
      <c r="I102" s="2"/>
    </row>
    <row r="103" spans="2:9">
      <c r="B103" s="2"/>
      <c r="C103" s="37" t="s">
        <v>213</v>
      </c>
      <c r="D103" s="38"/>
      <c r="E103" s="34" t="s">
        <v>103</v>
      </c>
      <c r="F103" s="34" t="s">
        <v>103</v>
      </c>
      <c r="G103" s="51">
        <v>0</v>
      </c>
      <c r="H103" s="52">
        <v>0</v>
      </c>
      <c r="I103" s="2"/>
    </row>
    <row r="104" spans="2:9">
      <c r="B104" s="2"/>
      <c r="C104" s="37" t="s">
        <v>214</v>
      </c>
      <c r="D104" s="38"/>
      <c r="E104" s="34" t="s">
        <v>103</v>
      </c>
      <c r="F104" s="34" t="s">
        <v>103</v>
      </c>
      <c r="G104" s="51">
        <v>0</v>
      </c>
      <c r="H104" s="52">
        <v>0</v>
      </c>
      <c r="I104" s="2"/>
    </row>
    <row r="105" spans="2:9">
      <c r="B105" s="2"/>
      <c r="C105" s="37" t="s">
        <v>215</v>
      </c>
      <c r="D105" s="38"/>
      <c r="E105" s="34" t="s">
        <v>103</v>
      </c>
      <c r="F105" s="34" t="s">
        <v>103</v>
      </c>
      <c r="G105" s="51">
        <v>0</v>
      </c>
      <c r="H105" s="52">
        <v>0</v>
      </c>
      <c r="I105" s="2"/>
    </row>
    <row r="106" spans="2:9">
      <c r="B106" s="2"/>
      <c r="C106" s="37" t="s">
        <v>216</v>
      </c>
      <c r="D106" s="38"/>
      <c r="E106" s="34" t="s">
        <v>103</v>
      </c>
      <c r="F106" s="34" t="s">
        <v>103</v>
      </c>
      <c r="G106" s="51">
        <v>0</v>
      </c>
      <c r="H106" s="52">
        <v>0</v>
      </c>
      <c r="I106" s="2"/>
    </row>
    <row r="107" spans="2:9">
      <c r="B107" s="2"/>
      <c r="C107" s="37" t="s">
        <v>217</v>
      </c>
      <c r="D107" s="38"/>
      <c r="E107" s="34" t="s">
        <v>103</v>
      </c>
      <c r="F107" s="34" t="s">
        <v>103</v>
      </c>
      <c r="G107" s="51">
        <v>0</v>
      </c>
      <c r="H107" s="52">
        <v>0</v>
      </c>
      <c r="I107" s="2"/>
    </row>
    <row r="108" spans="2:9">
      <c r="B108" s="2"/>
      <c r="C108" s="37" t="s">
        <v>218</v>
      </c>
      <c r="D108" s="38"/>
      <c r="E108" s="34" t="s">
        <v>103</v>
      </c>
      <c r="F108" s="34" t="s">
        <v>103</v>
      </c>
      <c r="G108" s="51">
        <v>0</v>
      </c>
      <c r="H108" s="52">
        <v>0</v>
      </c>
      <c r="I108" s="2"/>
    </row>
    <row r="109" spans="2:9">
      <c r="B109" s="2"/>
      <c r="C109" s="37" t="s">
        <v>219</v>
      </c>
      <c r="D109" s="38"/>
      <c r="E109" s="34" t="s">
        <v>103</v>
      </c>
      <c r="F109" s="34" t="s">
        <v>103</v>
      </c>
      <c r="G109" s="51">
        <v>0</v>
      </c>
      <c r="H109" s="52">
        <v>0</v>
      </c>
      <c r="I109" s="2"/>
    </row>
    <row r="110" spans="2:9">
      <c r="B110" s="2"/>
      <c r="C110" s="37" t="s">
        <v>220</v>
      </c>
      <c r="D110" s="38"/>
      <c r="E110" s="34" t="s">
        <v>103</v>
      </c>
      <c r="F110" s="34" t="s">
        <v>103</v>
      </c>
      <c r="G110" s="51">
        <v>0</v>
      </c>
      <c r="H110" s="52">
        <v>0</v>
      </c>
      <c r="I110" s="2"/>
    </row>
    <row r="111" spans="2:9">
      <c r="B111" s="2"/>
      <c r="C111" s="37" t="s">
        <v>221</v>
      </c>
      <c r="D111" s="38"/>
      <c r="E111" s="34" t="s">
        <v>103</v>
      </c>
      <c r="F111" s="34" t="s">
        <v>103</v>
      </c>
      <c r="G111" s="51">
        <v>0</v>
      </c>
      <c r="H111" s="52">
        <v>0</v>
      </c>
      <c r="I111" s="2"/>
    </row>
    <row r="112" spans="2:9">
      <c r="B112" s="2"/>
      <c r="C112" s="37" t="s">
        <v>222</v>
      </c>
      <c r="D112" s="38"/>
      <c r="E112" s="34" t="s">
        <v>103</v>
      </c>
      <c r="F112" s="34" t="s">
        <v>103</v>
      </c>
      <c r="G112" s="51">
        <v>0</v>
      </c>
      <c r="H112" s="52">
        <v>0</v>
      </c>
      <c r="I112" s="2"/>
    </row>
    <row r="113" spans="1:9">
      <c r="B113" s="2"/>
      <c r="C113" s="37" t="s">
        <v>223</v>
      </c>
      <c r="D113" s="38"/>
      <c r="E113" s="34" t="s">
        <v>103</v>
      </c>
      <c r="F113" s="34" t="s">
        <v>103</v>
      </c>
      <c r="G113" s="51">
        <v>0</v>
      </c>
      <c r="H113" s="52">
        <v>0</v>
      </c>
      <c r="I113" s="2"/>
    </row>
    <row r="114" spans="1:9" s="14" customFormat="1">
      <c r="B114" s="5"/>
      <c r="C114" s="49" t="s">
        <v>224</v>
      </c>
      <c r="D114" s="50"/>
      <c r="E114" s="34" t="s">
        <v>103</v>
      </c>
      <c r="F114" s="34" t="s">
        <v>103</v>
      </c>
      <c r="G114" s="51">
        <v>0</v>
      </c>
      <c r="H114" s="52">
        <v>0</v>
      </c>
      <c r="I114" s="5"/>
    </row>
    <row r="115" spans="1:9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34" t="s">
        <v>103</v>
      </c>
      <c r="G115" s="51">
        <v>0</v>
      </c>
      <c r="H115" s="52">
        <v>0</v>
      </c>
      <c r="I115" s="5"/>
    </row>
    <row r="116" spans="1:9">
      <c r="A116" s="16" t="s">
        <v>227</v>
      </c>
      <c r="B116" s="2"/>
      <c r="C116" s="2"/>
      <c r="D116" s="2"/>
      <c r="E116" s="2"/>
      <c r="F116" s="2"/>
      <c r="G116" s="2"/>
      <c r="H116" s="2"/>
      <c r="I116" s="2"/>
    </row>
    <row r="117" spans="1:9">
      <c r="B117" s="2"/>
      <c r="C117" s="2"/>
      <c r="D117" s="2"/>
      <c r="E117" s="2"/>
      <c r="F117" s="2"/>
      <c r="G117" s="2"/>
      <c r="H117" s="2"/>
      <c r="I117" s="2"/>
    </row>
    <row r="118" spans="1:9" ht="5.0999999999999996" customHeight="1">
      <c r="B118" s="2"/>
      <c r="C118" s="2"/>
      <c r="D118" s="2"/>
      <c r="E118" s="2"/>
      <c r="F118" s="2"/>
      <c r="G118" s="2"/>
      <c r="H118" s="2"/>
      <c r="I118" s="2"/>
    </row>
  </sheetData>
  <sheetProtection sheet="1" formatColumns="0" formatRows="0" insertRows="0" deleteRows="0" selectLockedCells="1"/>
  <mergeCells count="512">
    <mergeCell ref="C14:D15"/>
    <mergeCell ref="E15"/>
    <mergeCell ref="F15"/>
    <mergeCell ref="E14:F14"/>
    <mergeCell ref="G15"/>
    <mergeCell ref="G14:H14"/>
    <mergeCell ref="H15"/>
    <mergeCell ref="C7:H7"/>
    <mergeCell ref="C9:H9"/>
    <mergeCell ref="C10:H10"/>
    <mergeCell ref="C11:H11"/>
    <mergeCell ref="C13:H13"/>
    <mergeCell ref="C17:D17"/>
    <mergeCell ref="E17"/>
    <mergeCell ref="F17"/>
    <mergeCell ref="G17"/>
    <mergeCell ref="H17"/>
    <mergeCell ref="C16:D16"/>
    <mergeCell ref="E16"/>
    <mergeCell ref="F16"/>
    <mergeCell ref="G16"/>
    <mergeCell ref="H16"/>
    <mergeCell ref="C19:D19"/>
    <mergeCell ref="E19"/>
    <mergeCell ref="F19"/>
    <mergeCell ref="G19"/>
    <mergeCell ref="H19"/>
    <mergeCell ref="C18:D18"/>
    <mergeCell ref="E18"/>
    <mergeCell ref="F18"/>
    <mergeCell ref="G18"/>
    <mergeCell ref="H18"/>
    <mergeCell ref="C21:D21"/>
    <mergeCell ref="E21"/>
    <mergeCell ref="F21"/>
    <mergeCell ref="G21"/>
    <mergeCell ref="H21"/>
    <mergeCell ref="C20:D20"/>
    <mergeCell ref="E20"/>
    <mergeCell ref="F20"/>
    <mergeCell ref="G20"/>
    <mergeCell ref="H20"/>
    <mergeCell ref="C23:D23"/>
    <mergeCell ref="E23"/>
    <mergeCell ref="F23"/>
    <mergeCell ref="G23"/>
    <mergeCell ref="H23"/>
    <mergeCell ref="C22:D22"/>
    <mergeCell ref="E22"/>
    <mergeCell ref="F22"/>
    <mergeCell ref="G22"/>
    <mergeCell ref="H22"/>
    <mergeCell ref="C25:D25"/>
    <mergeCell ref="E25"/>
    <mergeCell ref="F25"/>
    <mergeCell ref="G25"/>
    <mergeCell ref="H25"/>
    <mergeCell ref="C24:D24"/>
    <mergeCell ref="E24"/>
    <mergeCell ref="F24"/>
    <mergeCell ref="G24"/>
    <mergeCell ref="H24"/>
    <mergeCell ref="C27:D27"/>
    <mergeCell ref="E27"/>
    <mergeCell ref="F27"/>
    <mergeCell ref="G27"/>
    <mergeCell ref="H27"/>
    <mergeCell ref="C26:D26"/>
    <mergeCell ref="E26"/>
    <mergeCell ref="F26"/>
    <mergeCell ref="G26"/>
    <mergeCell ref="H26"/>
    <mergeCell ref="C29:D29"/>
    <mergeCell ref="E29"/>
    <mergeCell ref="F29"/>
    <mergeCell ref="G29"/>
    <mergeCell ref="H29"/>
    <mergeCell ref="C28:D28"/>
    <mergeCell ref="E28"/>
    <mergeCell ref="F28"/>
    <mergeCell ref="G28"/>
    <mergeCell ref="H28"/>
    <mergeCell ref="C31:D31"/>
    <mergeCell ref="E31"/>
    <mergeCell ref="F31"/>
    <mergeCell ref="G31"/>
    <mergeCell ref="H31"/>
    <mergeCell ref="C30:D30"/>
    <mergeCell ref="E30"/>
    <mergeCell ref="F30"/>
    <mergeCell ref="G30"/>
    <mergeCell ref="H30"/>
    <mergeCell ref="C33:D33"/>
    <mergeCell ref="E33"/>
    <mergeCell ref="F33"/>
    <mergeCell ref="G33"/>
    <mergeCell ref="H33"/>
    <mergeCell ref="C32:D32"/>
    <mergeCell ref="E32"/>
    <mergeCell ref="F32"/>
    <mergeCell ref="G32"/>
    <mergeCell ref="H32"/>
    <mergeCell ref="C35:D35"/>
    <mergeCell ref="E35"/>
    <mergeCell ref="F35"/>
    <mergeCell ref="G35"/>
    <mergeCell ref="H35"/>
    <mergeCell ref="C34:D34"/>
    <mergeCell ref="E34"/>
    <mergeCell ref="F34"/>
    <mergeCell ref="G34"/>
    <mergeCell ref="H34"/>
    <mergeCell ref="C37:D37"/>
    <mergeCell ref="E37"/>
    <mergeCell ref="F37"/>
    <mergeCell ref="G37"/>
    <mergeCell ref="H37"/>
    <mergeCell ref="C36:D36"/>
    <mergeCell ref="E36"/>
    <mergeCell ref="F36"/>
    <mergeCell ref="G36"/>
    <mergeCell ref="H36"/>
    <mergeCell ref="C39:D39"/>
    <mergeCell ref="E39"/>
    <mergeCell ref="F39"/>
    <mergeCell ref="G39"/>
    <mergeCell ref="H39"/>
    <mergeCell ref="C38:D38"/>
    <mergeCell ref="E38"/>
    <mergeCell ref="F38"/>
    <mergeCell ref="G38"/>
    <mergeCell ref="H38"/>
    <mergeCell ref="C41:D41"/>
    <mergeCell ref="E41"/>
    <mergeCell ref="F41"/>
    <mergeCell ref="G41"/>
    <mergeCell ref="H41"/>
    <mergeCell ref="C40:D40"/>
    <mergeCell ref="E40"/>
    <mergeCell ref="F40"/>
    <mergeCell ref="G40"/>
    <mergeCell ref="H40"/>
    <mergeCell ref="C43:D43"/>
    <mergeCell ref="E43"/>
    <mergeCell ref="F43"/>
    <mergeCell ref="G43"/>
    <mergeCell ref="H43"/>
    <mergeCell ref="C42:D42"/>
    <mergeCell ref="E42"/>
    <mergeCell ref="F42"/>
    <mergeCell ref="G42"/>
    <mergeCell ref="H42"/>
    <mergeCell ref="C45:D45"/>
    <mergeCell ref="E45"/>
    <mergeCell ref="F45"/>
    <mergeCell ref="G45"/>
    <mergeCell ref="H45"/>
    <mergeCell ref="C44:D44"/>
    <mergeCell ref="E44"/>
    <mergeCell ref="F44"/>
    <mergeCell ref="G44"/>
    <mergeCell ref="H44"/>
    <mergeCell ref="C47:D47"/>
    <mergeCell ref="E47"/>
    <mergeCell ref="F47"/>
    <mergeCell ref="G47"/>
    <mergeCell ref="H47"/>
    <mergeCell ref="C46:D46"/>
    <mergeCell ref="E46"/>
    <mergeCell ref="F46"/>
    <mergeCell ref="G46"/>
    <mergeCell ref="H46"/>
    <mergeCell ref="C49:D49"/>
    <mergeCell ref="E49"/>
    <mergeCell ref="F49"/>
    <mergeCell ref="G49"/>
    <mergeCell ref="H49"/>
    <mergeCell ref="C48:D48"/>
    <mergeCell ref="E48"/>
    <mergeCell ref="F48"/>
    <mergeCell ref="G48"/>
    <mergeCell ref="H48"/>
    <mergeCell ref="C51:D51"/>
    <mergeCell ref="E51"/>
    <mergeCell ref="F51"/>
    <mergeCell ref="G51"/>
    <mergeCell ref="H51"/>
    <mergeCell ref="C50:D50"/>
    <mergeCell ref="E50"/>
    <mergeCell ref="F50"/>
    <mergeCell ref="G50"/>
    <mergeCell ref="H50"/>
    <mergeCell ref="C53:D53"/>
    <mergeCell ref="E53"/>
    <mergeCell ref="F53"/>
    <mergeCell ref="G53"/>
    <mergeCell ref="H53"/>
    <mergeCell ref="C52:D52"/>
    <mergeCell ref="E52"/>
    <mergeCell ref="F52"/>
    <mergeCell ref="G52"/>
    <mergeCell ref="H52"/>
    <mergeCell ref="C55:D55"/>
    <mergeCell ref="E55"/>
    <mergeCell ref="F55"/>
    <mergeCell ref="G55"/>
    <mergeCell ref="H55"/>
    <mergeCell ref="C54:D54"/>
    <mergeCell ref="E54"/>
    <mergeCell ref="F54"/>
    <mergeCell ref="G54"/>
    <mergeCell ref="H54"/>
    <mergeCell ref="C57:D57"/>
    <mergeCell ref="E57"/>
    <mergeCell ref="F57"/>
    <mergeCell ref="G57"/>
    <mergeCell ref="H57"/>
    <mergeCell ref="C56:D56"/>
    <mergeCell ref="E56"/>
    <mergeCell ref="F56"/>
    <mergeCell ref="G56"/>
    <mergeCell ref="H56"/>
    <mergeCell ref="C59:D59"/>
    <mergeCell ref="E59"/>
    <mergeCell ref="F59"/>
    <mergeCell ref="G59"/>
    <mergeCell ref="H59"/>
    <mergeCell ref="C58:D58"/>
    <mergeCell ref="E58"/>
    <mergeCell ref="F58"/>
    <mergeCell ref="G58"/>
    <mergeCell ref="H58"/>
    <mergeCell ref="C61:D61"/>
    <mergeCell ref="E61"/>
    <mergeCell ref="F61"/>
    <mergeCell ref="G61"/>
    <mergeCell ref="H61"/>
    <mergeCell ref="C60:D60"/>
    <mergeCell ref="E60"/>
    <mergeCell ref="F60"/>
    <mergeCell ref="G60"/>
    <mergeCell ref="H60"/>
    <mergeCell ref="C63:D63"/>
    <mergeCell ref="E63"/>
    <mergeCell ref="F63"/>
    <mergeCell ref="G63"/>
    <mergeCell ref="H63"/>
    <mergeCell ref="C62:D62"/>
    <mergeCell ref="E62"/>
    <mergeCell ref="F62"/>
    <mergeCell ref="G62"/>
    <mergeCell ref="H62"/>
    <mergeCell ref="C65:D65"/>
    <mergeCell ref="E65"/>
    <mergeCell ref="F65"/>
    <mergeCell ref="G65"/>
    <mergeCell ref="H65"/>
    <mergeCell ref="C64:D64"/>
    <mergeCell ref="E64"/>
    <mergeCell ref="F64"/>
    <mergeCell ref="G64"/>
    <mergeCell ref="H64"/>
    <mergeCell ref="C67:D67"/>
    <mergeCell ref="E67"/>
    <mergeCell ref="F67"/>
    <mergeCell ref="G67"/>
    <mergeCell ref="H67"/>
    <mergeCell ref="C66:D66"/>
    <mergeCell ref="E66"/>
    <mergeCell ref="F66"/>
    <mergeCell ref="G66"/>
    <mergeCell ref="H66"/>
    <mergeCell ref="C69:D69"/>
    <mergeCell ref="E69"/>
    <mergeCell ref="F69"/>
    <mergeCell ref="G69"/>
    <mergeCell ref="H69"/>
    <mergeCell ref="C68:D68"/>
    <mergeCell ref="E68"/>
    <mergeCell ref="F68"/>
    <mergeCell ref="G68"/>
    <mergeCell ref="H68"/>
    <mergeCell ref="C71:D71"/>
    <mergeCell ref="E71"/>
    <mergeCell ref="F71"/>
    <mergeCell ref="G71"/>
    <mergeCell ref="H71"/>
    <mergeCell ref="C70:D70"/>
    <mergeCell ref="E70"/>
    <mergeCell ref="F70"/>
    <mergeCell ref="G70"/>
    <mergeCell ref="H70"/>
    <mergeCell ref="C73:D73"/>
    <mergeCell ref="E73"/>
    <mergeCell ref="F73"/>
    <mergeCell ref="G73"/>
    <mergeCell ref="H73"/>
    <mergeCell ref="C72:D72"/>
    <mergeCell ref="E72"/>
    <mergeCell ref="F72"/>
    <mergeCell ref="G72"/>
    <mergeCell ref="H72"/>
    <mergeCell ref="C75:D75"/>
    <mergeCell ref="E75"/>
    <mergeCell ref="F75"/>
    <mergeCell ref="G75"/>
    <mergeCell ref="H75"/>
    <mergeCell ref="C74:D74"/>
    <mergeCell ref="E74"/>
    <mergeCell ref="F74"/>
    <mergeCell ref="G74"/>
    <mergeCell ref="H74"/>
    <mergeCell ref="C77:D77"/>
    <mergeCell ref="E77"/>
    <mergeCell ref="F77"/>
    <mergeCell ref="G77"/>
    <mergeCell ref="H77"/>
    <mergeCell ref="C76:D76"/>
    <mergeCell ref="E76"/>
    <mergeCell ref="F76"/>
    <mergeCell ref="G76"/>
    <mergeCell ref="H76"/>
    <mergeCell ref="C79:D79"/>
    <mergeCell ref="E79"/>
    <mergeCell ref="F79"/>
    <mergeCell ref="G79"/>
    <mergeCell ref="H79"/>
    <mergeCell ref="C78:D78"/>
    <mergeCell ref="E78"/>
    <mergeCell ref="F78"/>
    <mergeCell ref="G78"/>
    <mergeCell ref="H78"/>
    <mergeCell ref="C81:D81"/>
    <mergeCell ref="E81"/>
    <mergeCell ref="F81"/>
    <mergeCell ref="G81"/>
    <mergeCell ref="H81"/>
    <mergeCell ref="C80:D80"/>
    <mergeCell ref="E80"/>
    <mergeCell ref="F80"/>
    <mergeCell ref="G80"/>
    <mergeCell ref="H80"/>
    <mergeCell ref="C83:D83"/>
    <mergeCell ref="E83"/>
    <mergeCell ref="F83"/>
    <mergeCell ref="G83"/>
    <mergeCell ref="H83"/>
    <mergeCell ref="C82:D82"/>
    <mergeCell ref="E82"/>
    <mergeCell ref="F82"/>
    <mergeCell ref="G82"/>
    <mergeCell ref="H82"/>
    <mergeCell ref="C85:D85"/>
    <mergeCell ref="E85"/>
    <mergeCell ref="F85"/>
    <mergeCell ref="G85"/>
    <mergeCell ref="H85"/>
    <mergeCell ref="C84:D84"/>
    <mergeCell ref="E84"/>
    <mergeCell ref="F84"/>
    <mergeCell ref="G84"/>
    <mergeCell ref="H84"/>
    <mergeCell ref="C87:D87"/>
    <mergeCell ref="E87"/>
    <mergeCell ref="F87"/>
    <mergeCell ref="G87"/>
    <mergeCell ref="H87"/>
    <mergeCell ref="C86:D86"/>
    <mergeCell ref="E86"/>
    <mergeCell ref="F86"/>
    <mergeCell ref="G86"/>
    <mergeCell ref="H86"/>
    <mergeCell ref="C89:D89"/>
    <mergeCell ref="E89"/>
    <mergeCell ref="F89"/>
    <mergeCell ref="G89"/>
    <mergeCell ref="H89"/>
    <mergeCell ref="C88:D88"/>
    <mergeCell ref="E88"/>
    <mergeCell ref="F88"/>
    <mergeCell ref="G88"/>
    <mergeCell ref="H88"/>
    <mergeCell ref="C91:D91"/>
    <mergeCell ref="E91"/>
    <mergeCell ref="F91"/>
    <mergeCell ref="G91"/>
    <mergeCell ref="H91"/>
    <mergeCell ref="C90:D90"/>
    <mergeCell ref="E90"/>
    <mergeCell ref="F90"/>
    <mergeCell ref="G90"/>
    <mergeCell ref="H90"/>
    <mergeCell ref="C93:D93"/>
    <mergeCell ref="E93"/>
    <mergeCell ref="F93"/>
    <mergeCell ref="G93"/>
    <mergeCell ref="H93"/>
    <mergeCell ref="C92:D92"/>
    <mergeCell ref="E92"/>
    <mergeCell ref="F92"/>
    <mergeCell ref="G92"/>
    <mergeCell ref="H92"/>
    <mergeCell ref="C95:D95"/>
    <mergeCell ref="E95"/>
    <mergeCell ref="F95"/>
    <mergeCell ref="G95"/>
    <mergeCell ref="H95"/>
    <mergeCell ref="C94:D94"/>
    <mergeCell ref="E94"/>
    <mergeCell ref="F94"/>
    <mergeCell ref="G94"/>
    <mergeCell ref="H94"/>
    <mergeCell ref="C97:D97"/>
    <mergeCell ref="E97"/>
    <mergeCell ref="F97"/>
    <mergeCell ref="G97"/>
    <mergeCell ref="H97"/>
    <mergeCell ref="C96:D96"/>
    <mergeCell ref="E96"/>
    <mergeCell ref="F96"/>
    <mergeCell ref="G96"/>
    <mergeCell ref="H96"/>
    <mergeCell ref="C99:D99"/>
    <mergeCell ref="E99"/>
    <mergeCell ref="F99"/>
    <mergeCell ref="G99"/>
    <mergeCell ref="H99"/>
    <mergeCell ref="C98:D98"/>
    <mergeCell ref="E98"/>
    <mergeCell ref="F98"/>
    <mergeCell ref="G98"/>
    <mergeCell ref="H98"/>
    <mergeCell ref="C101:D101"/>
    <mergeCell ref="E101"/>
    <mergeCell ref="F101"/>
    <mergeCell ref="G101"/>
    <mergeCell ref="H101"/>
    <mergeCell ref="C100:D100"/>
    <mergeCell ref="E100"/>
    <mergeCell ref="F100"/>
    <mergeCell ref="G100"/>
    <mergeCell ref="H100"/>
    <mergeCell ref="C103:D103"/>
    <mergeCell ref="E103"/>
    <mergeCell ref="F103"/>
    <mergeCell ref="G103"/>
    <mergeCell ref="H103"/>
    <mergeCell ref="C102:D102"/>
    <mergeCell ref="E102"/>
    <mergeCell ref="F102"/>
    <mergeCell ref="G102"/>
    <mergeCell ref="H102"/>
    <mergeCell ref="C105:D105"/>
    <mergeCell ref="E105"/>
    <mergeCell ref="F105"/>
    <mergeCell ref="G105"/>
    <mergeCell ref="H105"/>
    <mergeCell ref="C104:D104"/>
    <mergeCell ref="E104"/>
    <mergeCell ref="F104"/>
    <mergeCell ref="G104"/>
    <mergeCell ref="H104"/>
    <mergeCell ref="C107:D107"/>
    <mergeCell ref="E107"/>
    <mergeCell ref="F107"/>
    <mergeCell ref="G107"/>
    <mergeCell ref="H107"/>
    <mergeCell ref="C106:D106"/>
    <mergeCell ref="E106"/>
    <mergeCell ref="F106"/>
    <mergeCell ref="G106"/>
    <mergeCell ref="H106"/>
    <mergeCell ref="C109:D109"/>
    <mergeCell ref="E109"/>
    <mergeCell ref="F109"/>
    <mergeCell ref="G109"/>
    <mergeCell ref="H109"/>
    <mergeCell ref="C108:D108"/>
    <mergeCell ref="E108"/>
    <mergeCell ref="F108"/>
    <mergeCell ref="G108"/>
    <mergeCell ref="H108"/>
    <mergeCell ref="C111:D111"/>
    <mergeCell ref="E111"/>
    <mergeCell ref="F111"/>
    <mergeCell ref="G111"/>
    <mergeCell ref="H111"/>
    <mergeCell ref="C110:D110"/>
    <mergeCell ref="E110"/>
    <mergeCell ref="F110"/>
    <mergeCell ref="G110"/>
    <mergeCell ref="H110"/>
    <mergeCell ref="C113:D113"/>
    <mergeCell ref="E113"/>
    <mergeCell ref="F113"/>
    <mergeCell ref="G113"/>
    <mergeCell ref="H113"/>
    <mergeCell ref="C112:D112"/>
    <mergeCell ref="E112"/>
    <mergeCell ref="F112"/>
    <mergeCell ref="G112"/>
    <mergeCell ref="H112"/>
    <mergeCell ref="C115:D115"/>
    <mergeCell ref="E115"/>
    <mergeCell ref="F115"/>
    <mergeCell ref="G115"/>
    <mergeCell ref="H115"/>
    <mergeCell ref="C114:D114"/>
    <mergeCell ref="E114"/>
    <mergeCell ref="F114"/>
    <mergeCell ref="G114"/>
    <mergeCell ref="H114"/>
  </mergeCells>
  <dataValidations count="200"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/>
  <cols>
    <col min="1" max="1" width="9.140625" style="1" customWidth="1"/>
    <col min="2" max="3" width="1" style="1" customWidth="1"/>
    <col min="4" max="4" width="20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>
      <c r="B2" s="9" t="s">
        <v>228</v>
      </c>
      <c r="C2" s="2"/>
      <c r="D2" s="2"/>
      <c r="E2" s="2"/>
      <c r="F2" s="2"/>
      <c r="G2" s="2"/>
      <c r="H2" s="2"/>
    </row>
    <row r="3" spans="2:8" hidden="1">
      <c r="B3" s="9" t="s">
        <v>8</v>
      </c>
      <c r="C3" s="2"/>
      <c r="D3" s="2"/>
      <c r="E3" s="2"/>
      <c r="F3" s="2"/>
      <c r="G3" s="2"/>
      <c r="H3" s="2"/>
    </row>
    <row r="4" spans="2:8" hidden="1">
      <c r="B4" s="2"/>
      <c r="C4" s="2"/>
      <c r="D4" s="2"/>
      <c r="E4" s="2"/>
      <c r="F4" s="2"/>
      <c r="G4" s="2"/>
      <c r="H4" s="2"/>
    </row>
    <row r="5" spans="2:8" hidden="1">
      <c r="B5" s="2"/>
      <c r="C5" s="2"/>
      <c r="D5" s="2"/>
      <c r="E5" s="2"/>
      <c r="F5" s="2"/>
      <c r="G5" s="2"/>
      <c r="H5" s="2"/>
    </row>
    <row r="6" spans="2:8" hidden="1">
      <c r="B6" s="2"/>
      <c r="C6" s="2"/>
      <c r="D6" s="2"/>
      <c r="E6" s="2"/>
      <c r="F6" s="2"/>
      <c r="G6" s="2"/>
      <c r="H6" s="2"/>
    </row>
    <row r="7" spans="2:8" ht="17.25">
      <c r="B7" s="2"/>
      <c r="C7" s="45" t="str">
        <f>UPPER('Data Umum'!D7)</f>
        <v/>
      </c>
      <c r="D7" s="45"/>
      <c r="E7" s="45"/>
      <c r="F7" s="45"/>
      <c r="G7" s="45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46" t="s">
        <v>229</v>
      </c>
      <c r="D9" s="46"/>
      <c r="E9" s="46"/>
      <c r="F9" s="46"/>
      <c r="G9" s="46"/>
      <c r="H9" s="2"/>
    </row>
    <row r="10" spans="2:8">
      <c r="B10" s="2"/>
      <c r="C10" s="46"/>
      <c r="D10" s="46"/>
      <c r="E10" s="46"/>
      <c r="F10" s="46"/>
      <c r="G10" s="46"/>
      <c r="H10" s="2"/>
    </row>
    <row r="11" spans="2:8">
      <c r="B11" s="2"/>
      <c r="C11" s="47" t="str">
        <f>CONCATENATE("Per ",TEXT(DATE(YEAR('Data Umum'!D11), MONTH('Data Umum'!D11)+1, 0),"DD")&amp;"-"&amp;CONCATENATE(TEXT('Data Umum'!D11, "MMM-YYYY")))</f>
        <v>Per 31-Jan-1900</v>
      </c>
      <c r="D11" s="47"/>
      <c r="E11" s="47"/>
      <c r="F11" s="47"/>
      <c r="G11" s="47"/>
      <c r="H11" s="2"/>
    </row>
    <row r="12" spans="2:8" hidden="1">
      <c r="B12" s="2"/>
      <c r="C12" s="2"/>
      <c r="D12" s="2"/>
      <c r="E12" s="2"/>
      <c r="F12" s="2"/>
      <c r="G12" s="2"/>
      <c r="H12" s="2"/>
    </row>
    <row r="13" spans="2:8">
      <c r="B13" s="2"/>
      <c r="C13" s="48"/>
      <c r="D13" s="48"/>
      <c r="E13" s="48"/>
      <c r="F13" s="48"/>
      <c r="G13" s="48"/>
      <c r="H13" s="2"/>
    </row>
    <row r="14" spans="2:8">
      <c r="B14" s="2"/>
      <c r="C14" s="40" t="s">
        <v>126</v>
      </c>
      <c r="D14" s="38"/>
      <c r="E14" s="43" t="str">
        <f>"Nama "</f>
        <v xml:space="preserve">Nama </v>
      </c>
      <c r="F14" s="43" t="str">
        <f>"Jabatan"</f>
        <v>Jabatan</v>
      </c>
      <c r="G14" s="43" t="str">
        <f>"Tanggal Mulai"</f>
        <v>Tanggal Mulai</v>
      </c>
      <c r="H14" s="2"/>
    </row>
    <row r="15" spans="2:8">
      <c r="B15" s="2"/>
      <c r="C15" s="41"/>
      <c r="D15" s="42"/>
      <c r="E15" s="44"/>
      <c r="F15" s="44"/>
      <c r="G15" s="44"/>
      <c r="H15" s="2"/>
    </row>
    <row r="16" spans="2:8">
      <c r="B16" s="2"/>
      <c r="C16" s="37" t="s">
        <v>8</v>
      </c>
      <c r="D16" s="38"/>
      <c r="E16" s="34" t="s">
        <v>103</v>
      </c>
      <c r="F16" s="34" t="s">
        <v>103</v>
      </c>
      <c r="G16" s="53"/>
      <c r="H16" s="2"/>
    </row>
    <row r="17" spans="2:8">
      <c r="B17" s="2"/>
      <c r="C17" s="37" t="s">
        <v>127</v>
      </c>
      <c r="D17" s="38"/>
      <c r="E17" s="34" t="s">
        <v>103</v>
      </c>
      <c r="F17" s="34" t="s">
        <v>103</v>
      </c>
      <c r="G17" s="53"/>
      <c r="H17" s="2"/>
    </row>
    <row r="18" spans="2:8">
      <c r="B18" s="2"/>
      <c r="C18" s="37" t="s">
        <v>128</v>
      </c>
      <c r="D18" s="38"/>
      <c r="E18" s="34" t="s">
        <v>103</v>
      </c>
      <c r="F18" s="34" t="s">
        <v>103</v>
      </c>
      <c r="G18" s="53"/>
      <c r="H18" s="2"/>
    </row>
    <row r="19" spans="2:8">
      <c r="B19" s="2"/>
      <c r="C19" s="37" t="s">
        <v>129</v>
      </c>
      <c r="D19" s="38"/>
      <c r="E19" s="34" t="s">
        <v>103</v>
      </c>
      <c r="F19" s="34" t="s">
        <v>103</v>
      </c>
      <c r="G19" s="53"/>
      <c r="H19" s="2"/>
    </row>
    <row r="20" spans="2:8">
      <c r="B20" s="2"/>
      <c r="C20" s="37" t="s">
        <v>130</v>
      </c>
      <c r="D20" s="38"/>
      <c r="E20" s="34" t="s">
        <v>103</v>
      </c>
      <c r="F20" s="34" t="s">
        <v>103</v>
      </c>
      <c r="G20" s="53"/>
      <c r="H20" s="2"/>
    </row>
    <row r="21" spans="2:8">
      <c r="B21" s="2"/>
      <c r="C21" s="37" t="s">
        <v>131</v>
      </c>
      <c r="D21" s="38"/>
      <c r="E21" s="34" t="s">
        <v>103</v>
      </c>
      <c r="F21" s="34" t="s">
        <v>103</v>
      </c>
      <c r="G21" s="53"/>
      <c r="H21" s="2"/>
    </row>
    <row r="22" spans="2:8">
      <c r="B22" s="2"/>
      <c r="C22" s="37" t="s">
        <v>132</v>
      </c>
      <c r="D22" s="38"/>
      <c r="E22" s="34" t="s">
        <v>103</v>
      </c>
      <c r="F22" s="34" t="s">
        <v>103</v>
      </c>
      <c r="G22" s="53"/>
      <c r="H22" s="2"/>
    </row>
    <row r="23" spans="2:8">
      <c r="B23" s="2"/>
      <c r="C23" s="37" t="s">
        <v>133</v>
      </c>
      <c r="D23" s="38"/>
      <c r="E23" s="34" t="s">
        <v>103</v>
      </c>
      <c r="F23" s="34" t="s">
        <v>103</v>
      </c>
      <c r="G23" s="53"/>
      <c r="H23" s="2"/>
    </row>
    <row r="24" spans="2:8">
      <c r="B24" s="2"/>
      <c r="C24" s="37" t="s">
        <v>134</v>
      </c>
      <c r="D24" s="38"/>
      <c r="E24" s="34" t="s">
        <v>103</v>
      </c>
      <c r="F24" s="34" t="s">
        <v>103</v>
      </c>
      <c r="G24" s="53"/>
      <c r="H24" s="2"/>
    </row>
    <row r="25" spans="2:8">
      <c r="B25" s="2"/>
      <c r="C25" s="37" t="s">
        <v>135</v>
      </c>
      <c r="D25" s="38"/>
      <c r="E25" s="34" t="s">
        <v>103</v>
      </c>
      <c r="F25" s="34" t="s">
        <v>103</v>
      </c>
      <c r="G25" s="53"/>
      <c r="H25" s="2"/>
    </row>
    <row r="26" spans="2:8">
      <c r="B26" s="2"/>
      <c r="C26" s="37" t="s">
        <v>136</v>
      </c>
      <c r="D26" s="38"/>
      <c r="E26" s="34" t="s">
        <v>103</v>
      </c>
      <c r="F26" s="34" t="s">
        <v>103</v>
      </c>
      <c r="G26" s="53"/>
      <c r="H26" s="2"/>
    </row>
    <row r="27" spans="2:8">
      <c r="B27" s="2"/>
      <c r="C27" s="37" t="s">
        <v>137</v>
      </c>
      <c r="D27" s="38"/>
      <c r="E27" s="34" t="s">
        <v>103</v>
      </c>
      <c r="F27" s="34" t="s">
        <v>103</v>
      </c>
      <c r="G27" s="53"/>
      <c r="H27" s="2"/>
    </row>
    <row r="28" spans="2:8">
      <c r="B28" s="2"/>
      <c r="C28" s="37" t="s">
        <v>138</v>
      </c>
      <c r="D28" s="38"/>
      <c r="E28" s="34" t="s">
        <v>103</v>
      </c>
      <c r="F28" s="34" t="s">
        <v>103</v>
      </c>
      <c r="G28" s="53"/>
      <c r="H28" s="2"/>
    </row>
    <row r="29" spans="2:8">
      <c r="B29" s="2"/>
      <c r="C29" s="37" t="s">
        <v>139</v>
      </c>
      <c r="D29" s="38"/>
      <c r="E29" s="34" t="s">
        <v>103</v>
      </c>
      <c r="F29" s="34" t="s">
        <v>103</v>
      </c>
      <c r="G29" s="53"/>
      <c r="H29" s="2"/>
    </row>
    <row r="30" spans="2:8">
      <c r="B30" s="2"/>
      <c r="C30" s="37" t="s">
        <v>140</v>
      </c>
      <c r="D30" s="38"/>
      <c r="E30" s="34" t="s">
        <v>103</v>
      </c>
      <c r="F30" s="34" t="s">
        <v>103</v>
      </c>
      <c r="G30" s="53"/>
      <c r="H30" s="2"/>
    </row>
    <row r="31" spans="2:8">
      <c r="B31" s="2"/>
      <c r="C31" s="37" t="s">
        <v>141</v>
      </c>
      <c r="D31" s="38"/>
      <c r="E31" s="34" t="s">
        <v>103</v>
      </c>
      <c r="F31" s="34" t="s">
        <v>103</v>
      </c>
      <c r="G31" s="53"/>
      <c r="H31" s="2"/>
    </row>
    <row r="32" spans="2:8">
      <c r="B32" s="2"/>
      <c r="C32" s="37" t="s">
        <v>142</v>
      </c>
      <c r="D32" s="38"/>
      <c r="E32" s="34" t="s">
        <v>103</v>
      </c>
      <c r="F32" s="34" t="s">
        <v>103</v>
      </c>
      <c r="G32" s="53"/>
      <c r="H32" s="2"/>
    </row>
    <row r="33" spans="2:8">
      <c r="B33" s="2"/>
      <c r="C33" s="37" t="s">
        <v>143</v>
      </c>
      <c r="D33" s="38"/>
      <c r="E33" s="34" t="s">
        <v>103</v>
      </c>
      <c r="F33" s="34" t="s">
        <v>103</v>
      </c>
      <c r="G33" s="53"/>
      <c r="H33" s="2"/>
    </row>
    <row r="34" spans="2:8">
      <c r="B34" s="2"/>
      <c r="C34" s="37" t="s">
        <v>144</v>
      </c>
      <c r="D34" s="38"/>
      <c r="E34" s="34" t="s">
        <v>103</v>
      </c>
      <c r="F34" s="34" t="s">
        <v>103</v>
      </c>
      <c r="G34" s="53"/>
      <c r="H34" s="2"/>
    </row>
    <row r="35" spans="2:8">
      <c r="B35" s="2"/>
      <c r="C35" s="37" t="s">
        <v>145</v>
      </c>
      <c r="D35" s="38"/>
      <c r="E35" s="34" t="s">
        <v>103</v>
      </c>
      <c r="F35" s="34" t="s">
        <v>103</v>
      </c>
      <c r="G35" s="53"/>
      <c r="H35" s="2"/>
    </row>
    <row r="36" spans="2:8">
      <c r="B36" s="2"/>
      <c r="C36" s="37" t="s">
        <v>146</v>
      </c>
      <c r="D36" s="38"/>
      <c r="E36" s="34" t="s">
        <v>103</v>
      </c>
      <c r="F36" s="34" t="s">
        <v>103</v>
      </c>
      <c r="G36" s="53"/>
      <c r="H36" s="2"/>
    </row>
    <row r="37" spans="2:8">
      <c r="B37" s="2"/>
      <c r="C37" s="37" t="s">
        <v>147</v>
      </c>
      <c r="D37" s="38"/>
      <c r="E37" s="34" t="s">
        <v>103</v>
      </c>
      <c r="F37" s="34" t="s">
        <v>103</v>
      </c>
      <c r="G37" s="53"/>
      <c r="H37" s="2"/>
    </row>
    <row r="38" spans="2:8">
      <c r="B38" s="2"/>
      <c r="C38" s="37" t="s">
        <v>148</v>
      </c>
      <c r="D38" s="38"/>
      <c r="E38" s="34" t="s">
        <v>103</v>
      </c>
      <c r="F38" s="34" t="s">
        <v>103</v>
      </c>
      <c r="G38" s="53"/>
      <c r="H38" s="2"/>
    </row>
    <row r="39" spans="2:8">
      <c r="B39" s="2"/>
      <c r="C39" s="37" t="s">
        <v>149</v>
      </c>
      <c r="D39" s="38"/>
      <c r="E39" s="34" t="s">
        <v>103</v>
      </c>
      <c r="F39" s="34" t="s">
        <v>103</v>
      </c>
      <c r="G39" s="53"/>
      <c r="H39" s="2"/>
    </row>
    <row r="40" spans="2:8">
      <c r="B40" s="2"/>
      <c r="C40" s="37" t="s">
        <v>150</v>
      </c>
      <c r="D40" s="38"/>
      <c r="E40" s="34" t="s">
        <v>103</v>
      </c>
      <c r="F40" s="34" t="s">
        <v>103</v>
      </c>
      <c r="G40" s="53"/>
      <c r="H40" s="2"/>
    </row>
    <row r="41" spans="2:8">
      <c r="B41" s="2"/>
      <c r="C41" s="37" t="s">
        <v>151</v>
      </c>
      <c r="D41" s="38"/>
      <c r="E41" s="34" t="s">
        <v>103</v>
      </c>
      <c r="F41" s="34" t="s">
        <v>103</v>
      </c>
      <c r="G41" s="53"/>
      <c r="H41" s="2"/>
    </row>
    <row r="42" spans="2:8">
      <c r="B42" s="2"/>
      <c r="C42" s="37" t="s">
        <v>152</v>
      </c>
      <c r="D42" s="38"/>
      <c r="E42" s="34" t="s">
        <v>103</v>
      </c>
      <c r="F42" s="34" t="s">
        <v>103</v>
      </c>
      <c r="G42" s="53"/>
      <c r="H42" s="2"/>
    </row>
    <row r="43" spans="2:8">
      <c r="B43" s="2"/>
      <c r="C43" s="37" t="s">
        <v>153</v>
      </c>
      <c r="D43" s="38"/>
      <c r="E43" s="34" t="s">
        <v>103</v>
      </c>
      <c r="F43" s="34" t="s">
        <v>103</v>
      </c>
      <c r="G43" s="53"/>
      <c r="H43" s="2"/>
    </row>
    <row r="44" spans="2:8">
      <c r="B44" s="2"/>
      <c r="C44" s="37" t="s">
        <v>154</v>
      </c>
      <c r="D44" s="38"/>
      <c r="E44" s="34" t="s">
        <v>103</v>
      </c>
      <c r="F44" s="34" t="s">
        <v>103</v>
      </c>
      <c r="G44" s="53"/>
      <c r="H44" s="2"/>
    </row>
    <row r="45" spans="2:8">
      <c r="B45" s="2"/>
      <c r="C45" s="37" t="s">
        <v>155</v>
      </c>
      <c r="D45" s="38"/>
      <c r="E45" s="34" t="s">
        <v>103</v>
      </c>
      <c r="F45" s="34" t="s">
        <v>103</v>
      </c>
      <c r="G45" s="53"/>
      <c r="H45" s="2"/>
    </row>
    <row r="46" spans="2:8">
      <c r="B46" s="2"/>
      <c r="C46" s="37" t="s">
        <v>156</v>
      </c>
      <c r="D46" s="38"/>
      <c r="E46" s="34" t="s">
        <v>103</v>
      </c>
      <c r="F46" s="34" t="s">
        <v>103</v>
      </c>
      <c r="G46" s="53"/>
      <c r="H46" s="2"/>
    </row>
    <row r="47" spans="2:8">
      <c r="B47" s="2"/>
      <c r="C47" s="37" t="s">
        <v>157</v>
      </c>
      <c r="D47" s="38"/>
      <c r="E47" s="34" t="s">
        <v>103</v>
      </c>
      <c r="F47" s="34" t="s">
        <v>103</v>
      </c>
      <c r="G47" s="53"/>
      <c r="H47" s="2"/>
    </row>
    <row r="48" spans="2:8">
      <c r="B48" s="2"/>
      <c r="C48" s="37" t="s">
        <v>158</v>
      </c>
      <c r="D48" s="38"/>
      <c r="E48" s="34" t="s">
        <v>103</v>
      </c>
      <c r="F48" s="34" t="s">
        <v>103</v>
      </c>
      <c r="G48" s="53"/>
      <c r="H48" s="2"/>
    </row>
    <row r="49" spans="2:8">
      <c r="B49" s="2"/>
      <c r="C49" s="37" t="s">
        <v>159</v>
      </c>
      <c r="D49" s="38"/>
      <c r="E49" s="34" t="s">
        <v>103</v>
      </c>
      <c r="F49" s="34" t="s">
        <v>103</v>
      </c>
      <c r="G49" s="53"/>
      <c r="H49" s="2"/>
    </row>
    <row r="50" spans="2:8">
      <c r="B50" s="2"/>
      <c r="C50" s="37" t="s">
        <v>160</v>
      </c>
      <c r="D50" s="38"/>
      <c r="E50" s="34" t="s">
        <v>103</v>
      </c>
      <c r="F50" s="34" t="s">
        <v>103</v>
      </c>
      <c r="G50" s="53"/>
      <c r="H50" s="2"/>
    </row>
    <row r="51" spans="2:8">
      <c r="B51" s="2"/>
      <c r="C51" s="37" t="s">
        <v>161</v>
      </c>
      <c r="D51" s="38"/>
      <c r="E51" s="34" t="s">
        <v>103</v>
      </c>
      <c r="F51" s="34" t="s">
        <v>103</v>
      </c>
      <c r="G51" s="53"/>
      <c r="H51" s="2"/>
    </row>
    <row r="52" spans="2:8">
      <c r="B52" s="2"/>
      <c r="C52" s="37" t="s">
        <v>162</v>
      </c>
      <c r="D52" s="38"/>
      <c r="E52" s="34" t="s">
        <v>103</v>
      </c>
      <c r="F52" s="34" t="s">
        <v>103</v>
      </c>
      <c r="G52" s="53"/>
      <c r="H52" s="2"/>
    </row>
    <row r="53" spans="2:8">
      <c r="B53" s="2"/>
      <c r="C53" s="37" t="s">
        <v>163</v>
      </c>
      <c r="D53" s="38"/>
      <c r="E53" s="34" t="s">
        <v>103</v>
      </c>
      <c r="F53" s="34" t="s">
        <v>103</v>
      </c>
      <c r="G53" s="53"/>
      <c r="H53" s="2"/>
    </row>
    <row r="54" spans="2:8">
      <c r="B54" s="2"/>
      <c r="C54" s="37" t="s">
        <v>164</v>
      </c>
      <c r="D54" s="38"/>
      <c r="E54" s="34" t="s">
        <v>103</v>
      </c>
      <c r="F54" s="34" t="s">
        <v>103</v>
      </c>
      <c r="G54" s="53"/>
      <c r="H54" s="2"/>
    </row>
    <row r="55" spans="2:8">
      <c r="B55" s="2"/>
      <c r="C55" s="37" t="s">
        <v>165</v>
      </c>
      <c r="D55" s="38"/>
      <c r="E55" s="34" t="s">
        <v>103</v>
      </c>
      <c r="F55" s="34" t="s">
        <v>103</v>
      </c>
      <c r="G55" s="53"/>
      <c r="H55" s="2"/>
    </row>
    <row r="56" spans="2:8">
      <c r="B56" s="2"/>
      <c r="C56" s="37" t="s">
        <v>166</v>
      </c>
      <c r="D56" s="38"/>
      <c r="E56" s="34" t="s">
        <v>103</v>
      </c>
      <c r="F56" s="34" t="s">
        <v>103</v>
      </c>
      <c r="G56" s="53"/>
      <c r="H56" s="2"/>
    </row>
    <row r="57" spans="2:8">
      <c r="B57" s="2"/>
      <c r="C57" s="37" t="s">
        <v>167</v>
      </c>
      <c r="D57" s="38"/>
      <c r="E57" s="34" t="s">
        <v>103</v>
      </c>
      <c r="F57" s="34" t="s">
        <v>103</v>
      </c>
      <c r="G57" s="53"/>
      <c r="H57" s="2"/>
    </row>
    <row r="58" spans="2:8">
      <c r="B58" s="2"/>
      <c r="C58" s="37" t="s">
        <v>168</v>
      </c>
      <c r="D58" s="38"/>
      <c r="E58" s="34" t="s">
        <v>103</v>
      </c>
      <c r="F58" s="34" t="s">
        <v>103</v>
      </c>
      <c r="G58" s="53"/>
      <c r="H58" s="2"/>
    </row>
    <row r="59" spans="2:8">
      <c r="B59" s="2"/>
      <c r="C59" s="37" t="s">
        <v>169</v>
      </c>
      <c r="D59" s="38"/>
      <c r="E59" s="34" t="s">
        <v>103</v>
      </c>
      <c r="F59" s="34" t="s">
        <v>103</v>
      </c>
      <c r="G59" s="53"/>
      <c r="H59" s="2"/>
    </row>
    <row r="60" spans="2:8">
      <c r="B60" s="2"/>
      <c r="C60" s="37" t="s">
        <v>170</v>
      </c>
      <c r="D60" s="38"/>
      <c r="E60" s="34" t="s">
        <v>103</v>
      </c>
      <c r="F60" s="34" t="s">
        <v>103</v>
      </c>
      <c r="G60" s="53"/>
      <c r="H60" s="2"/>
    </row>
    <row r="61" spans="2:8">
      <c r="B61" s="2"/>
      <c r="C61" s="37" t="s">
        <v>171</v>
      </c>
      <c r="D61" s="38"/>
      <c r="E61" s="34" t="s">
        <v>103</v>
      </c>
      <c r="F61" s="34" t="s">
        <v>103</v>
      </c>
      <c r="G61" s="53"/>
      <c r="H61" s="2"/>
    </row>
    <row r="62" spans="2:8">
      <c r="B62" s="2"/>
      <c r="C62" s="37" t="s">
        <v>172</v>
      </c>
      <c r="D62" s="38"/>
      <c r="E62" s="34" t="s">
        <v>103</v>
      </c>
      <c r="F62" s="34" t="s">
        <v>103</v>
      </c>
      <c r="G62" s="53"/>
      <c r="H62" s="2"/>
    </row>
    <row r="63" spans="2:8">
      <c r="B63" s="2"/>
      <c r="C63" s="37" t="s">
        <v>173</v>
      </c>
      <c r="D63" s="38"/>
      <c r="E63" s="34" t="s">
        <v>103</v>
      </c>
      <c r="F63" s="34" t="s">
        <v>103</v>
      </c>
      <c r="G63" s="53"/>
      <c r="H63" s="2"/>
    </row>
    <row r="64" spans="2:8">
      <c r="B64" s="2"/>
      <c r="C64" s="37" t="s">
        <v>174</v>
      </c>
      <c r="D64" s="38"/>
      <c r="E64" s="34" t="s">
        <v>103</v>
      </c>
      <c r="F64" s="34" t="s">
        <v>103</v>
      </c>
      <c r="G64" s="53"/>
      <c r="H64" s="2"/>
    </row>
    <row r="65" spans="2:8">
      <c r="B65" s="2"/>
      <c r="C65" s="37" t="s">
        <v>175</v>
      </c>
      <c r="D65" s="38"/>
      <c r="E65" s="34" t="s">
        <v>103</v>
      </c>
      <c r="F65" s="34" t="s">
        <v>103</v>
      </c>
      <c r="G65" s="53"/>
      <c r="H65" s="2"/>
    </row>
    <row r="66" spans="2:8">
      <c r="B66" s="2"/>
      <c r="C66" s="37" t="s">
        <v>176</v>
      </c>
      <c r="D66" s="38"/>
      <c r="E66" s="34" t="s">
        <v>103</v>
      </c>
      <c r="F66" s="34" t="s">
        <v>103</v>
      </c>
      <c r="G66" s="53"/>
      <c r="H66" s="2"/>
    </row>
    <row r="67" spans="2:8">
      <c r="B67" s="2"/>
      <c r="C67" s="37" t="s">
        <v>177</v>
      </c>
      <c r="D67" s="38"/>
      <c r="E67" s="34" t="s">
        <v>103</v>
      </c>
      <c r="F67" s="34" t="s">
        <v>103</v>
      </c>
      <c r="G67" s="53"/>
      <c r="H67" s="2"/>
    </row>
    <row r="68" spans="2:8">
      <c r="B68" s="2"/>
      <c r="C68" s="37" t="s">
        <v>178</v>
      </c>
      <c r="D68" s="38"/>
      <c r="E68" s="34" t="s">
        <v>103</v>
      </c>
      <c r="F68" s="34" t="s">
        <v>103</v>
      </c>
      <c r="G68" s="53"/>
      <c r="H68" s="2"/>
    </row>
    <row r="69" spans="2:8">
      <c r="B69" s="2"/>
      <c r="C69" s="37" t="s">
        <v>179</v>
      </c>
      <c r="D69" s="38"/>
      <c r="E69" s="34" t="s">
        <v>103</v>
      </c>
      <c r="F69" s="34" t="s">
        <v>103</v>
      </c>
      <c r="G69" s="53"/>
      <c r="H69" s="2"/>
    </row>
    <row r="70" spans="2:8">
      <c r="B70" s="2"/>
      <c r="C70" s="37" t="s">
        <v>180</v>
      </c>
      <c r="D70" s="38"/>
      <c r="E70" s="34" t="s">
        <v>103</v>
      </c>
      <c r="F70" s="34" t="s">
        <v>103</v>
      </c>
      <c r="G70" s="53"/>
      <c r="H70" s="2"/>
    </row>
    <row r="71" spans="2:8">
      <c r="B71" s="2"/>
      <c r="C71" s="37" t="s">
        <v>181</v>
      </c>
      <c r="D71" s="38"/>
      <c r="E71" s="34" t="s">
        <v>103</v>
      </c>
      <c r="F71" s="34" t="s">
        <v>103</v>
      </c>
      <c r="G71" s="53"/>
      <c r="H71" s="2"/>
    </row>
    <row r="72" spans="2:8">
      <c r="B72" s="2"/>
      <c r="C72" s="37" t="s">
        <v>182</v>
      </c>
      <c r="D72" s="38"/>
      <c r="E72" s="34" t="s">
        <v>103</v>
      </c>
      <c r="F72" s="34" t="s">
        <v>103</v>
      </c>
      <c r="G72" s="53"/>
      <c r="H72" s="2"/>
    </row>
    <row r="73" spans="2:8">
      <c r="B73" s="2"/>
      <c r="C73" s="37" t="s">
        <v>183</v>
      </c>
      <c r="D73" s="38"/>
      <c r="E73" s="34" t="s">
        <v>103</v>
      </c>
      <c r="F73" s="34" t="s">
        <v>103</v>
      </c>
      <c r="G73" s="53"/>
      <c r="H73" s="2"/>
    </row>
    <row r="74" spans="2:8">
      <c r="B74" s="2"/>
      <c r="C74" s="37" t="s">
        <v>184</v>
      </c>
      <c r="D74" s="38"/>
      <c r="E74" s="34" t="s">
        <v>103</v>
      </c>
      <c r="F74" s="34" t="s">
        <v>103</v>
      </c>
      <c r="G74" s="53"/>
      <c r="H74" s="2"/>
    </row>
    <row r="75" spans="2:8">
      <c r="B75" s="2"/>
      <c r="C75" s="37" t="s">
        <v>185</v>
      </c>
      <c r="D75" s="38"/>
      <c r="E75" s="34" t="s">
        <v>103</v>
      </c>
      <c r="F75" s="34" t="s">
        <v>103</v>
      </c>
      <c r="G75" s="53"/>
      <c r="H75" s="2"/>
    </row>
    <row r="76" spans="2:8">
      <c r="B76" s="2"/>
      <c r="C76" s="37" t="s">
        <v>186</v>
      </c>
      <c r="D76" s="38"/>
      <c r="E76" s="34" t="s">
        <v>103</v>
      </c>
      <c r="F76" s="34" t="s">
        <v>103</v>
      </c>
      <c r="G76" s="53"/>
      <c r="H76" s="2"/>
    </row>
    <row r="77" spans="2:8">
      <c r="B77" s="2"/>
      <c r="C77" s="37" t="s">
        <v>187</v>
      </c>
      <c r="D77" s="38"/>
      <c r="E77" s="34" t="s">
        <v>103</v>
      </c>
      <c r="F77" s="34" t="s">
        <v>103</v>
      </c>
      <c r="G77" s="53"/>
      <c r="H77" s="2"/>
    </row>
    <row r="78" spans="2:8">
      <c r="B78" s="2"/>
      <c r="C78" s="37" t="s">
        <v>188</v>
      </c>
      <c r="D78" s="38"/>
      <c r="E78" s="34" t="s">
        <v>103</v>
      </c>
      <c r="F78" s="34" t="s">
        <v>103</v>
      </c>
      <c r="G78" s="53"/>
      <c r="H78" s="2"/>
    </row>
    <row r="79" spans="2:8">
      <c r="B79" s="2"/>
      <c r="C79" s="37" t="s">
        <v>189</v>
      </c>
      <c r="D79" s="38"/>
      <c r="E79" s="34" t="s">
        <v>103</v>
      </c>
      <c r="F79" s="34" t="s">
        <v>103</v>
      </c>
      <c r="G79" s="53"/>
      <c r="H79" s="2"/>
    </row>
    <row r="80" spans="2:8">
      <c r="B80" s="2"/>
      <c r="C80" s="37" t="s">
        <v>190</v>
      </c>
      <c r="D80" s="38"/>
      <c r="E80" s="34" t="s">
        <v>103</v>
      </c>
      <c r="F80" s="34" t="s">
        <v>103</v>
      </c>
      <c r="G80" s="53"/>
      <c r="H80" s="2"/>
    </row>
    <row r="81" spans="2:8">
      <c r="B81" s="2"/>
      <c r="C81" s="37" t="s">
        <v>191</v>
      </c>
      <c r="D81" s="38"/>
      <c r="E81" s="34" t="s">
        <v>103</v>
      </c>
      <c r="F81" s="34" t="s">
        <v>103</v>
      </c>
      <c r="G81" s="53"/>
      <c r="H81" s="2"/>
    </row>
    <row r="82" spans="2:8">
      <c r="B82" s="2"/>
      <c r="C82" s="37" t="s">
        <v>192</v>
      </c>
      <c r="D82" s="38"/>
      <c r="E82" s="34" t="s">
        <v>103</v>
      </c>
      <c r="F82" s="34" t="s">
        <v>103</v>
      </c>
      <c r="G82" s="53"/>
      <c r="H82" s="2"/>
    </row>
    <row r="83" spans="2:8">
      <c r="B83" s="2"/>
      <c r="C83" s="37" t="s">
        <v>193</v>
      </c>
      <c r="D83" s="38"/>
      <c r="E83" s="34" t="s">
        <v>103</v>
      </c>
      <c r="F83" s="34" t="s">
        <v>103</v>
      </c>
      <c r="G83" s="53"/>
      <c r="H83" s="2"/>
    </row>
    <row r="84" spans="2:8">
      <c r="B84" s="2"/>
      <c r="C84" s="37" t="s">
        <v>194</v>
      </c>
      <c r="D84" s="38"/>
      <c r="E84" s="34" t="s">
        <v>103</v>
      </c>
      <c r="F84" s="34" t="s">
        <v>103</v>
      </c>
      <c r="G84" s="53"/>
      <c r="H84" s="2"/>
    </row>
    <row r="85" spans="2:8">
      <c r="B85" s="2"/>
      <c r="C85" s="37" t="s">
        <v>195</v>
      </c>
      <c r="D85" s="38"/>
      <c r="E85" s="34" t="s">
        <v>103</v>
      </c>
      <c r="F85" s="34" t="s">
        <v>103</v>
      </c>
      <c r="G85" s="53"/>
      <c r="H85" s="2"/>
    </row>
    <row r="86" spans="2:8">
      <c r="B86" s="2"/>
      <c r="C86" s="37" t="s">
        <v>196</v>
      </c>
      <c r="D86" s="38"/>
      <c r="E86" s="34" t="s">
        <v>103</v>
      </c>
      <c r="F86" s="34" t="s">
        <v>103</v>
      </c>
      <c r="G86" s="53"/>
      <c r="H86" s="2"/>
    </row>
    <row r="87" spans="2:8">
      <c r="B87" s="2"/>
      <c r="C87" s="37" t="s">
        <v>197</v>
      </c>
      <c r="D87" s="38"/>
      <c r="E87" s="34" t="s">
        <v>103</v>
      </c>
      <c r="F87" s="34" t="s">
        <v>103</v>
      </c>
      <c r="G87" s="53"/>
      <c r="H87" s="2"/>
    </row>
    <row r="88" spans="2:8">
      <c r="B88" s="2"/>
      <c r="C88" s="37" t="s">
        <v>198</v>
      </c>
      <c r="D88" s="38"/>
      <c r="E88" s="34" t="s">
        <v>103</v>
      </c>
      <c r="F88" s="34" t="s">
        <v>103</v>
      </c>
      <c r="G88" s="53"/>
      <c r="H88" s="2"/>
    </row>
    <row r="89" spans="2:8">
      <c r="B89" s="2"/>
      <c r="C89" s="37" t="s">
        <v>199</v>
      </c>
      <c r="D89" s="38"/>
      <c r="E89" s="34" t="s">
        <v>103</v>
      </c>
      <c r="F89" s="34" t="s">
        <v>103</v>
      </c>
      <c r="G89" s="53"/>
      <c r="H89" s="2"/>
    </row>
    <row r="90" spans="2:8">
      <c r="B90" s="2"/>
      <c r="C90" s="37" t="s">
        <v>200</v>
      </c>
      <c r="D90" s="38"/>
      <c r="E90" s="34" t="s">
        <v>103</v>
      </c>
      <c r="F90" s="34" t="s">
        <v>103</v>
      </c>
      <c r="G90" s="53"/>
      <c r="H90" s="2"/>
    </row>
    <row r="91" spans="2:8">
      <c r="B91" s="2"/>
      <c r="C91" s="37" t="s">
        <v>201</v>
      </c>
      <c r="D91" s="38"/>
      <c r="E91" s="34" t="s">
        <v>103</v>
      </c>
      <c r="F91" s="34" t="s">
        <v>103</v>
      </c>
      <c r="G91" s="53"/>
      <c r="H91" s="2"/>
    </row>
    <row r="92" spans="2:8">
      <c r="B92" s="2"/>
      <c r="C92" s="37" t="s">
        <v>202</v>
      </c>
      <c r="D92" s="38"/>
      <c r="E92" s="34" t="s">
        <v>103</v>
      </c>
      <c r="F92" s="34" t="s">
        <v>103</v>
      </c>
      <c r="G92" s="53"/>
      <c r="H92" s="2"/>
    </row>
    <row r="93" spans="2:8">
      <c r="B93" s="2"/>
      <c r="C93" s="37" t="s">
        <v>203</v>
      </c>
      <c r="D93" s="38"/>
      <c r="E93" s="34" t="s">
        <v>103</v>
      </c>
      <c r="F93" s="34" t="s">
        <v>103</v>
      </c>
      <c r="G93" s="53"/>
      <c r="H93" s="2"/>
    </row>
    <row r="94" spans="2:8">
      <c r="B94" s="2"/>
      <c r="C94" s="37" t="s">
        <v>204</v>
      </c>
      <c r="D94" s="38"/>
      <c r="E94" s="34" t="s">
        <v>103</v>
      </c>
      <c r="F94" s="34" t="s">
        <v>103</v>
      </c>
      <c r="G94" s="53"/>
      <c r="H94" s="2"/>
    </row>
    <row r="95" spans="2:8">
      <c r="B95" s="2"/>
      <c r="C95" s="37" t="s">
        <v>205</v>
      </c>
      <c r="D95" s="38"/>
      <c r="E95" s="34" t="s">
        <v>103</v>
      </c>
      <c r="F95" s="34" t="s">
        <v>103</v>
      </c>
      <c r="G95" s="53"/>
      <c r="H95" s="2"/>
    </row>
    <row r="96" spans="2:8">
      <c r="B96" s="2"/>
      <c r="C96" s="37" t="s">
        <v>206</v>
      </c>
      <c r="D96" s="38"/>
      <c r="E96" s="34" t="s">
        <v>103</v>
      </c>
      <c r="F96" s="34" t="s">
        <v>103</v>
      </c>
      <c r="G96" s="53"/>
      <c r="H96" s="2"/>
    </row>
    <row r="97" spans="2:8">
      <c r="B97" s="2"/>
      <c r="C97" s="37" t="s">
        <v>207</v>
      </c>
      <c r="D97" s="38"/>
      <c r="E97" s="34" t="s">
        <v>103</v>
      </c>
      <c r="F97" s="34" t="s">
        <v>103</v>
      </c>
      <c r="G97" s="53"/>
      <c r="H97" s="2"/>
    </row>
    <row r="98" spans="2:8">
      <c r="B98" s="2"/>
      <c r="C98" s="37" t="s">
        <v>208</v>
      </c>
      <c r="D98" s="38"/>
      <c r="E98" s="34" t="s">
        <v>103</v>
      </c>
      <c r="F98" s="34" t="s">
        <v>103</v>
      </c>
      <c r="G98" s="53"/>
      <c r="H98" s="2"/>
    </row>
    <row r="99" spans="2:8">
      <c r="B99" s="2"/>
      <c r="C99" s="37" t="s">
        <v>209</v>
      </c>
      <c r="D99" s="38"/>
      <c r="E99" s="34" t="s">
        <v>103</v>
      </c>
      <c r="F99" s="34" t="s">
        <v>103</v>
      </c>
      <c r="G99" s="53"/>
      <c r="H99" s="2"/>
    </row>
    <row r="100" spans="2:8">
      <c r="B100" s="2"/>
      <c r="C100" s="37" t="s">
        <v>210</v>
      </c>
      <c r="D100" s="38"/>
      <c r="E100" s="34" t="s">
        <v>103</v>
      </c>
      <c r="F100" s="34" t="s">
        <v>103</v>
      </c>
      <c r="G100" s="53"/>
      <c r="H100" s="2"/>
    </row>
    <row r="101" spans="2:8">
      <c r="B101" s="2"/>
      <c r="C101" s="37" t="s">
        <v>211</v>
      </c>
      <c r="D101" s="38"/>
      <c r="E101" s="34" t="s">
        <v>103</v>
      </c>
      <c r="F101" s="34" t="s">
        <v>103</v>
      </c>
      <c r="G101" s="53"/>
      <c r="H101" s="2"/>
    </row>
    <row r="102" spans="2:8">
      <c r="B102" s="2"/>
      <c r="C102" s="37" t="s">
        <v>212</v>
      </c>
      <c r="D102" s="38"/>
      <c r="E102" s="34" t="s">
        <v>103</v>
      </c>
      <c r="F102" s="34" t="s">
        <v>103</v>
      </c>
      <c r="G102" s="53"/>
      <c r="H102" s="2"/>
    </row>
    <row r="103" spans="2:8">
      <c r="B103" s="2"/>
      <c r="C103" s="37" t="s">
        <v>213</v>
      </c>
      <c r="D103" s="38"/>
      <c r="E103" s="34" t="s">
        <v>103</v>
      </c>
      <c r="F103" s="34" t="s">
        <v>103</v>
      </c>
      <c r="G103" s="53"/>
      <c r="H103" s="2"/>
    </row>
    <row r="104" spans="2:8">
      <c r="B104" s="2"/>
      <c r="C104" s="37" t="s">
        <v>214</v>
      </c>
      <c r="D104" s="38"/>
      <c r="E104" s="34" t="s">
        <v>103</v>
      </c>
      <c r="F104" s="34" t="s">
        <v>103</v>
      </c>
      <c r="G104" s="53"/>
      <c r="H104" s="2"/>
    </row>
    <row r="105" spans="2:8">
      <c r="B105" s="2"/>
      <c r="C105" s="37" t="s">
        <v>215</v>
      </c>
      <c r="D105" s="38"/>
      <c r="E105" s="34" t="s">
        <v>103</v>
      </c>
      <c r="F105" s="34" t="s">
        <v>103</v>
      </c>
      <c r="G105" s="53"/>
      <c r="H105" s="2"/>
    </row>
    <row r="106" spans="2:8">
      <c r="B106" s="2"/>
      <c r="C106" s="37" t="s">
        <v>216</v>
      </c>
      <c r="D106" s="38"/>
      <c r="E106" s="34" t="s">
        <v>103</v>
      </c>
      <c r="F106" s="34" t="s">
        <v>103</v>
      </c>
      <c r="G106" s="53"/>
      <c r="H106" s="2"/>
    </row>
    <row r="107" spans="2:8">
      <c r="B107" s="2"/>
      <c r="C107" s="37" t="s">
        <v>217</v>
      </c>
      <c r="D107" s="38"/>
      <c r="E107" s="34" t="s">
        <v>103</v>
      </c>
      <c r="F107" s="34" t="s">
        <v>103</v>
      </c>
      <c r="G107" s="53"/>
      <c r="H107" s="2"/>
    </row>
    <row r="108" spans="2:8">
      <c r="B108" s="2"/>
      <c r="C108" s="37" t="s">
        <v>218</v>
      </c>
      <c r="D108" s="38"/>
      <c r="E108" s="34" t="s">
        <v>103</v>
      </c>
      <c r="F108" s="34" t="s">
        <v>103</v>
      </c>
      <c r="G108" s="53"/>
      <c r="H108" s="2"/>
    </row>
    <row r="109" spans="2:8">
      <c r="B109" s="2"/>
      <c r="C109" s="37" t="s">
        <v>219</v>
      </c>
      <c r="D109" s="38"/>
      <c r="E109" s="34" t="s">
        <v>103</v>
      </c>
      <c r="F109" s="34" t="s">
        <v>103</v>
      </c>
      <c r="G109" s="53"/>
      <c r="H109" s="2"/>
    </row>
    <row r="110" spans="2:8">
      <c r="B110" s="2"/>
      <c r="C110" s="37" t="s">
        <v>220</v>
      </c>
      <c r="D110" s="38"/>
      <c r="E110" s="34" t="s">
        <v>103</v>
      </c>
      <c r="F110" s="34" t="s">
        <v>103</v>
      </c>
      <c r="G110" s="53"/>
      <c r="H110" s="2"/>
    </row>
    <row r="111" spans="2:8">
      <c r="B111" s="2"/>
      <c r="C111" s="37" t="s">
        <v>221</v>
      </c>
      <c r="D111" s="38"/>
      <c r="E111" s="34" t="s">
        <v>103</v>
      </c>
      <c r="F111" s="34" t="s">
        <v>103</v>
      </c>
      <c r="G111" s="53"/>
      <c r="H111" s="2"/>
    </row>
    <row r="112" spans="2:8">
      <c r="B112" s="2"/>
      <c r="C112" s="37" t="s">
        <v>222</v>
      </c>
      <c r="D112" s="38"/>
      <c r="E112" s="34" t="s">
        <v>103</v>
      </c>
      <c r="F112" s="34" t="s">
        <v>103</v>
      </c>
      <c r="G112" s="53"/>
      <c r="H112" s="2"/>
    </row>
    <row r="113" spans="1:8">
      <c r="B113" s="2"/>
      <c r="C113" s="37" t="s">
        <v>223</v>
      </c>
      <c r="D113" s="38"/>
      <c r="E113" s="34" t="s">
        <v>103</v>
      </c>
      <c r="F113" s="34" t="s">
        <v>103</v>
      </c>
      <c r="G113" s="53"/>
      <c r="H113" s="2"/>
    </row>
    <row r="114" spans="1:8" s="14" customFormat="1">
      <c r="B114" s="5"/>
      <c r="C114" s="49" t="s">
        <v>224</v>
      </c>
      <c r="D114" s="50"/>
      <c r="E114" s="34" t="s">
        <v>103</v>
      </c>
      <c r="F114" s="34" t="s">
        <v>103</v>
      </c>
      <c r="G114" s="53"/>
      <c r="H114" s="5"/>
    </row>
    <row r="115" spans="1:8" s="14" customFormat="1">
      <c r="A115" s="15" t="s">
        <v>225</v>
      </c>
      <c r="B115" s="5"/>
      <c r="C115" s="49" t="s">
        <v>226</v>
      </c>
      <c r="D115" s="50"/>
      <c r="E115" s="34" t="s">
        <v>103</v>
      </c>
      <c r="F115" s="34" t="s">
        <v>103</v>
      </c>
      <c r="G115" s="53"/>
      <c r="H115" s="5"/>
    </row>
    <row r="116" spans="1:8">
      <c r="A116" s="16" t="s">
        <v>227</v>
      </c>
      <c r="B116" s="2"/>
      <c r="C116" s="2"/>
      <c r="D116" s="2"/>
      <c r="E116" s="2"/>
      <c r="F116" s="2"/>
      <c r="G116" s="2"/>
      <c r="H116" s="2"/>
    </row>
    <row r="117" spans="1:8">
      <c r="B117" s="2"/>
      <c r="C117" s="2"/>
      <c r="D117" s="2"/>
      <c r="E117" s="2"/>
      <c r="F117" s="2"/>
      <c r="G117" s="2"/>
      <c r="H117" s="2"/>
    </row>
    <row r="118" spans="1:8" ht="5.0999999999999996" customHeight="1">
      <c r="B118" s="2"/>
      <c r="C118" s="2"/>
      <c r="D118" s="2"/>
      <c r="E118" s="2"/>
      <c r="F118" s="2"/>
      <c r="G118" s="2"/>
      <c r="H118" s="2"/>
    </row>
  </sheetData>
  <sheetProtection sheet="1" formatColumns="0" formatRows="0" insertRows="0" deleteRows="0" selectLockedCells="1"/>
  <mergeCells count="409">
    <mergeCell ref="C14:D15"/>
    <mergeCell ref="E14:E15"/>
    <mergeCell ref="F14:F15"/>
    <mergeCell ref="G14:G15"/>
    <mergeCell ref="C16:D16"/>
    <mergeCell ref="E16"/>
    <mergeCell ref="F16"/>
    <mergeCell ref="G16"/>
    <mergeCell ref="C7:G7"/>
    <mergeCell ref="C9:G9"/>
    <mergeCell ref="C10:G10"/>
    <mergeCell ref="C11:G11"/>
    <mergeCell ref="C13:G13"/>
    <mergeCell ref="C19:D19"/>
    <mergeCell ref="E19"/>
    <mergeCell ref="F19"/>
    <mergeCell ref="G19"/>
    <mergeCell ref="C20:D20"/>
    <mergeCell ref="E20"/>
    <mergeCell ref="F20"/>
    <mergeCell ref="G20"/>
    <mergeCell ref="C17:D17"/>
    <mergeCell ref="E17"/>
    <mergeCell ref="F17"/>
    <mergeCell ref="G17"/>
    <mergeCell ref="C18:D18"/>
    <mergeCell ref="E18"/>
    <mergeCell ref="F18"/>
    <mergeCell ref="G18"/>
    <mergeCell ref="C23:D23"/>
    <mergeCell ref="E23"/>
    <mergeCell ref="F23"/>
    <mergeCell ref="G23"/>
    <mergeCell ref="C24:D24"/>
    <mergeCell ref="E24"/>
    <mergeCell ref="F24"/>
    <mergeCell ref="G24"/>
    <mergeCell ref="C21:D21"/>
    <mergeCell ref="E21"/>
    <mergeCell ref="F21"/>
    <mergeCell ref="G21"/>
    <mergeCell ref="C22:D22"/>
    <mergeCell ref="E22"/>
    <mergeCell ref="F22"/>
    <mergeCell ref="G22"/>
    <mergeCell ref="C27:D27"/>
    <mergeCell ref="E27"/>
    <mergeCell ref="F27"/>
    <mergeCell ref="G27"/>
    <mergeCell ref="C28:D28"/>
    <mergeCell ref="E28"/>
    <mergeCell ref="F28"/>
    <mergeCell ref="G28"/>
    <mergeCell ref="C25:D25"/>
    <mergeCell ref="E25"/>
    <mergeCell ref="F25"/>
    <mergeCell ref="G25"/>
    <mergeCell ref="C26:D26"/>
    <mergeCell ref="E26"/>
    <mergeCell ref="F26"/>
    <mergeCell ref="G26"/>
    <mergeCell ref="C31:D31"/>
    <mergeCell ref="E31"/>
    <mergeCell ref="F31"/>
    <mergeCell ref="G31"/>
    <mergeCell ref="C32:D32"/>
    <mergeCell ref="E32"/>
    <mergeCell ref="F32"/>
    <mergeCell ref="G32"/>
    <mergeCell ref="C29:D29"/>
    <mergeCell ref="E29"/>
    <mergeCell ref="F29"/>
    <mergeCell ref="G29"/>
    <mergeCell ref="C30:D30"/>
    <mergeCell ref="E30"/>
    <mergeCell ref="F30"/>
    <mergeCell ref="G30"/>
    <mergeCell ref="C35:D35"/>
    <mergeCell ref="E35"/>
    <mergeCell ref="F35"/>
    <mergeCell ref="G35"/>
    <mergeCell ref="C36:D36"/>
    <mergeCell ref="E36"/>
    <mergeCell ref="F36"/>
    <mergeCell ref="G36"/>
    <mergeCell ref="C33:D33"/>
    <mergeCell ref="E33"/>
    <mergeCell ref="F33"/>
    <mergeCell ref="G33"/>
    <mergeCell ref="C34:D34"/>
    <mergeCell ref="E34"/>
    <mergeCell ref="F34"/>
    <mergeCell ref="G34"/>
    <mergeCell ref="C39:D39"/>
    <mergeCell ref="E39"/>
    <mergeCell ref="F39"/>
    <mergeCell ref="G39"/>
    <mergeCell ref="C40:D40"/>
    <mergeCell ref="E40"/>
    <mergeCell ref="F40"/>
    <mergeCell ref="G40"/>
    <mergeCell ref="C37:D37"/>
    <mergeCell ref="E37"/>
    <mergeCell ref="F37"/>
    <mergeCell ref="G37"/>
    <mergeCell ref="C38:D38"/>
    <mergeCell ref="E38"/>
    <mergeCell ref="F38"/>
    <mergeCell ref="G38"/>
    <mergeCell ref="C43:D43"/>
    <mergeCell ref="E43"/>
    <mergeCell ref="F43"/>
    <mergeCell ref="G43"/>
    <mergeCell ref="C44:D44"/>
    <mergeCell ref="E44"/>
    <mergeCell ref="F44"/>
    <mergeCell ref="G44"/>
    <mergeCell ref="C41:D41"/>
    <mergeCell ref="E41"/>
    <mergeCell ref="F41"/>
    <mergeCell ref="G41"/>
    <mergeCell ref="C42:D42"/>
    <mergeCell ref="E42"/>
    <mergeCell ref="F42"/>
    <mergeCell ref="G42"/>
    <mergeCell ref="C47:D47"/>
    <mergeCell ref="E47"/>
    <mergeCell ref="F47"/>
    <mergeCell ref="G47"/>
    <mergeCell ref="C48:D48"/>
    <mergeCell ref="E48"/>
    <mergeCell ref="F48"/>
    <mergeCell ref="G48"/>
    <mergeCell ref="C45:D45"/>
    <mergeCell ref="E45"/>
    <mergeCell ref="F45"/>
    <mergeCell ref="G45"/>
    <mergeCell ref="C46:D46"/>
    <mergeCell ref="E46"/>
    <mergeCell ref="F46"/>
    <mergeCell ref="G46"/>
    <mergeCell ref="C51:D51"/>
    <mergeCell ref="E51"/>
    <mergeCell ref="F51"/>
    <mergeCell ref="G51"/>
    <mergeCell ref="C52:D52"/>
    <mergeCell ref="E52"/>
    <mergeCell ref="F52"/>
    <mergeCell ref="G52"/>
    <mergeCell ref="C49:D49"/>
    <mergeCell ref="E49"/>
    <mergeCell ref="F49"/>
    <mergeCell ref="G49"/>
    <mergeCell ref="C50:D50"/>
    <mergeCell ref="E50"/>
    <mergeCell ref="F50"/>
    <mergeCell ref="G50"/>
    <mergeCell ref="C55:D55"/>
    <mergeCell ref="E55"/>
    <mergeCell ref="F55"/>
    <mergeCell ref="G55"/>
    <mergeCell ref="C56:D56"/>
    <mergeCell ref="E56"/>
    <mergeCell ref="F56"/>
    <mergeCell ref="G56"/>
    <mergeCell ref="C53:D53"/>
    <mergeCell ref="E53"/>
    <mergeCell ref="F53"/>
    <mergeCell ref="G53"/>
    <mergeCell ref="C54:D54"/>
    <mergeCell ref="E54"/>
    <mergeCell ref="F54"/>
    <mergeCell ref="G54"/>
    <mergeCell ref="C59:D59"/>
    <mergeCell ref="E59"/>
    <mergeCell ref="F59"/>
    <mergeCell ref="G59"/>
    <mergeCell ref="C60:D60"/>
    <mergeCell ref="E60"/>
    <mergeCell ref="F60"/>
    <mergeCell ref="G60"/>
    <mergeCell ref="C57:D57"/>
    <mergeCell ref="E57"/>
    <mergeCell ref="F57"/>
    <mergeCell ref="G57"/>
    <mergeCell ref="C58:D58"/>
    <mergeCell ref="E58"/>
    <mergeCell ref="F58"/>
    <mergeCell ref="G58"/>
    <mergeCell ref="C63:D63"/>
    <mergeCell ref="E63"/>
    <mergeCell ref="F63"/>
    <mergeCell ref="G63"/>
    <mergeCell ref="C64:D64"/>
    <mergeCell ref="E64"/>
    <mergeCell ref="F64"/>
    <mergeCell ref="G64"/>
    <mergeCell ref="C61:D61"/>
    <mergeCell ref="E61"/>
    <mergeCell ref="F61"/>
    <mergeCell ref="G61"/>
    <mergeCell ref="C62:D62"/>
    <mergeCell ref="E62"/>
    <mergeCell ref="F62"/>
    <mergeCell ref="G62"/>
    <mergeCell ref="C67:D67"/>
    <mergeCell ref="E67"/>
    <mergeCell ref="F67"/>
    <mergeCell ref="G67"/>
    <mergeCell ref="C68:D68"/>
    <mergeCell ref="E68"/>
    <mergeCell ref="F68"/>
    <mergeCell ref="G68"/>
    <mergeCell ref="C65:D65"/>
    <mergeCell ref="E65"/>
    <mergeCell ref="F65"/>
    <mergeCell ref="G65"/>
    <mergeCell ref="C66:D66"/>
    <mergeCell ref="E66"/>
    <mergeCell ref="F66"/>
    <mergeCell ref="G66"/>
    <mergeCell ref="C71:D71"/>
    <mergeCell ref="E71"/>
    <mergeCell ref="F71"/>
    <mergeCell ref="G71"/>
    <mergeCell ref="C72:D72"/>
    <mergeCell ref="E72"/>
    <mergeCell ref="F72"/>
    <mergeCell ref="G72"/>
    <mergeCell ref="C69:D69"/>
    <mergeCell ref="E69"/>
    <mergeCell ref="F69"/>
    <mergeCell ref="G69"/>
    <mergeCell ref="C70:D70"/>
    <mergeCell ref="E70"/>
    <mergeCell ref="F70"/>
    <mergeCell ref="G70"/>
    <mergeCell ref="C75:D75"/>
    <mergeCell ref="E75"/>
    <mergeCell ref="F75"/>
    <mergeCell ref="G75"/>
    <mergeCell ref="C76:D76"/>
    <mergeCell ref="E76"/>
    <mergeCell ref="F76"/>
    <mergeCell ref="G76"/>
    <mergeCell ref="C73:D73"/>
    <mergeCell ref="E73"/>
    <mergeCell ref="F73"/>
    <mergeCell ref="G73"/>
    <mergeCell ref="C74:D74"/>
    <mergeCell ref="E74"/>
    <mergeCell ref="F74"/>
    <mergeCell ref="G74"/>
    <mergeCell ref="C79:D79"/>
    <mergeCell ref="E79"/>
    <mergeCell ref="F79"/>
    <mergeCell ref="G79"/>
    <mergeCell ref="C80:D80"/>
    <mergeCell ref="E80"/>
    <mergeCell ref="F80"/>
    <mergeCell ref="G80"/>
    <mergeCell ref="C77:D77"/>
    <mergeCell ref="E77"/>
    <mergeCell ref="F77"/>
    <mergeCell ref="G77"/>
    <mergeCell ref="C78:D78"/>
    <mergeCell ref="E78"/>
    <mergeCell ref="F78"/>
    <mergeCell ref="G78"/>
    <mergeCell ref="C83:D83"/>
    <mergeCell ref="E83"/>
    <mergeCell ref="F83"/>
    <mergeCell ref="G83"/>
    <mergeCell ref="C84:D84"/>
    <mergeCell ref="E84"/>
    <mergeCell ref="F84"/>
    <mergeCell ref="G84"/>
    <mergeCell ref="C81:D81"/>
    <mergeCell ref="E81"/>
    <mergeCell ref="F81"/>
    <mergeCell ref="G81"/>
    <mergeCell ref="C82:D82"/>
    <mergeCell ref="E82"/>
    <mergeCell ref="F82"/>
    <mergeCell ref="G82"/>
    <mergeCell ref="C87:D87"/>
    <mergeCell ref="E87"/>
    <mergeCell ref="F87"/>
    <mergeCell ref="G87"/>
    <mergeCell ref="C88:D88"/>
    <mergeCell ref="E88"/>
    <mergeCell ref="F88"/>
    <mergeCell ref="G88"/>
    <mergeCell ref="C85:D85"/>
    <mergeCell ref="E85"/>
    <mergeCell ref="F85"/>
    <mergeCell ref="G85"/>
    <mergeCell ref="C86:D86"/>
    <mergeCell ref="E86"/>
    <mergeCell ref="F86"/>
    <mergeCell ref="G86"/>
    <mergeCell ref="C91:D91"/>
    <mergeCell ref="E91"/>
    <mergeCell ref="F91"/>
    <mergeCell ref="G91"/>
    <mergeCell ref="C92:D92"/>
    <mergeCell ref="E92"/>
    <mergeCell ref="F92"/>
    <mergeCell ref="G92"/>
    <mergeCell ref="C89:D89"/>
    <mergeCell ref="E89"/>
    <mergeCell ref="F89"/>
    <mergeCell ref="G89"/>
    <mergeCell ref="C90:D90"/>
    <mergeCell ref="E90"/>
    <mergeCell ref="F90"/>
    <mergeCell ref="G90"/>
    <mergeCell ref="C95:D95"/>
    <mergeCell ref="E95"/>
    <mergeCell ref="F95"/>
    <mergeCell ref="G95"/>
    <mergeCell ref="C96:D96"/>
    <mergeCell ref="E96"/>
    <mergeCell ref="F96"/>
    <mergeCell ref="G96"/>
    <mergeCell ref="C93:D93"/>
    <mergeCell ref="E93"/>
    <mergeCell ref="F93"/>
    <mergeCell ref="G93"/>
    <mergeCell ref="C94:D94"/>
    <mergeCell ref="E94"/>
    <mergeCell ref="F94"/>
    <mergeCell ref="G94"/>
    <mergeCell ref="C99:D99"/>
    <mergeCell ref="E99"/>
    <mergeCell ref="F99"/>
    <mergeCell ref="G99"/>
    <mergeCell ref="C100:D100"/>
    <mergeCell ref="E100"/>
    <mergeCell ref="F100"/>
    <mergeCell ref="G100"/>
    <mergeCell ref="C97:D97"/>
    <mergeCell ref="E97"/>
    <mergeCell ref="F97"/>
    <mergeCell ref="G97"/>
    <mergeCell ref="C98:D98"/>
    <mergeCell ref="E98"/>
    <mergeCell ref="F98"/>
    <mergeCell ref="G98"/>
    <mergeCell ref="C103:D103"/>
    <mergeCell ref="E103"/>
    <mergeCell ref="F103"/>
    <mergeCell ref="G103"/>
    <mergeCell ref="C104:D104"/>
    <mergeCell ref="E104"/>
    <mergeCell ref="F104"/>
    <mergeCell ref="G104"/>
    <mergeCell ref="C101:D101"/>
    <mergeCell ref="E101"/>
    <mergeCell ref="F101"/>
    <mergeCell ref="G101"/>
    <mergeCell ref="C102:D102"/>
    <mergeCell ref="E102"/>
    <mergeCell ref="F102"/>
    <mergeCell ref="G102"/>
    <mergeCell ref="C107:D107"/>
    <mergeCell ref="E107"/>
    <mergeCell ref="F107"/>
    <mergeCell ref="G107"/>
    <mergeCell ref="C108:D108"/>
    <mergeCell ref="E108"/>
    <mergeCell ref="F108"/>
    <mergeCell ref="G108"/>
    <mergeCell ref="C105:D105"/>
    <mergeCell ref="E105"/>
    <mergeCell ref="F105"/>
    <mergeCell ref="G105"/>
    <mergeCell ref="C106:D106"/>
    <mergeCell ref="E106"/>
    <mergeCell ref="F106"/>
    <mergeCell ref="G106"/>
    <mergeCell ref="C111:D111"/>
    <mergeCell ref="E111"/>
    <mergeCell ref="F111"/>
    <mergeCell ref="G111"/>
    <mergeCell ref="C112:D112"/>
    <mergeCell ref="E112"/>
    <mergeCell ref="F112"/>
    <mergeCell ref="G112"/>
    <mergeCell ref="C109:D109"/>
    <mergeCell ref="E109"/>
    <mergeCell ref="F109"/>
    <mergeCell ref="G109"/>
    <mergeCell ref="C110:D110"/>
    <mergeCell ref="E110"/>
    <mergeCell ref="F110"/>
    <mergeCell ref="G110"/>
    <mergeCell ref="C115:D115"/>
    <mergeCell ref="E115"/>
    <mergeCell ref="F115"/>
    <mergeCell ref="G115"/>
    <mergeCell ref="C113:D113"/>
    <mergeCell ref="E113"/>
    <mergeCell ref="F113"/>
    <mergeCell ref="G113"/>
    <mergeCell ref="C114:D114"/>
    <mergeCell ref="E114"/>
    <mergeCell ref="F114"/>
    <mergeCell ref="G114"/>
  </mergeCells>
  <dataValidations count="100">
    <dataValidation type="date" showErrorMessage="1" errorTitle="Kesalahan Jenis Data" error="Data yang dimasukkan harus berupa tanggal!" sqref="G16">
      <formula1>0</formula1>
      <formula2>2958465.99999999</formula2>
    </dataValidation>
    <dataValidation type="date" showErrorMessage="1" errorTitle="Kesalahan Jenis Data" error="Data yang dimasukkan harus berupa tanggal!" sqref="G17">
      <formula1>0</formula1>
      <formula2>2958465.99999999</formula2>
    </dataValidation>
    <dataValidation type="date" showErrorMessage="1" errorTitle="Kesalahan Jenis Data" error="Data yang dimasukkan harus berupa tanggal!" sqref="G18">
      <formula1>0</formula1>
      <formula2>2958465.99999999</formula2>
    </dataValidation>
    <dataValidation type="date" showErrorMessage="1" errorTitle="Kesalahan Jenis Data" error="Data yang dimasukkan harus berupa tanggal!" sqref="G19">
      <formula1>0</formula1>
      <formula2>2958465.99999999</formula2>
    </dataValidation>
    <dataValidation type="date" showErrorMessage="1" errorTitle="Kesalahan Jenis Data" error="Data yang dimasukkan harus berupa tanggal!" sqref="G20">
      <formula1>0</formula1>
      <formula2>2958465.99999999</formula2>
    </dataValidation>
    <dataValidation type="date" showErrorMessage="1" errorTitle="Kesalahan Jenis Data" error="Data yang dimasukkan harus berupa tanggal!" sqref="G21">
      <formula1>0</formula1>
      <formula2>2958465.99999999</formula2>
    </dataValidation>
    <dataValidation type="date" showErrorMessage="1" errorTitle="Kesalahan Jenis Data" error="Data yang dimasukkan harus berupa tanggal!" sqref="G22">
      <formula1>0</formula1>
      <formula2>2958465.99999999</formula2>
    </dataValidation>
    <dataValidation type="date" showErrorMessage="1" errorTitle="Kesalahan Jenis Data" error="Data yang dimasukkan harus berupa tanggal!" sqref="G23">
      <formula1>0</formula1>
      <formula2>2958465.99999999</formula2>
    </dataValidation>
    <dataValidation type="date" showErrorMessage="1" errorTitle="Kesalahan Jenis Data" error="Data yang dimasukkan harus berupa tanggal!" sqref="G24">
      <formula1>0</formula1>
      <formula2>2958465.99999999</formula2>
    </dataValidation>
    <dataValidation type="date" showErrorMessage="1" errorTitle="Kesalahan Jenis Data" error="Data yang dimasukkan harus berupa tanggal!" sqref="G25">
      <formula1>0</formula1>
      <formula2>2958465.99999999</formula2>
    </dataValidation>
    <dataValidation type="date" showErrorMessage="1" errorTitle="Kesalahan Jenis Data" error="Data yang dimasukkan harus berupa tanggal!" sqref="G26">
      <formula1>0</formula1>
      <formula2>2958465.99999999</formula2>
    </dataValidation>
    <dataValidation type="date" showErrorMessage="1" errorTitle="Kesalahan Jenis Data" error="Data yang dimasukkan harus berupa tanggal!" sqref="G27">
      <formula1>0</formula1>
      <formula2>2958465.99999999</formula2>
    </dataValidation>
    <dataValidation type="date" showErrorMessage="1" errorTitle="Kesalahan Jenis Data" error="Data yang dimasukkan harus berupa tanggal!" sqref="G28">
      <formula1>0</formula1>
      <formula2>2958465.99999999</formula2>
    </dataValidation>
    <dataValidation type="date" showErrorMessage="1" errorTitle="Kesalahan Jenis Data" error="Data yang dimasukkan harus berupa tanggal!" sqref="G29">
      <formula1>0</formula1>
      <formula2>2958465.99999999</formula2>
    </dataValidation>
    <dataValidation type="date" showErrorMessage="1" errorTitle="Kesalahan Jenis Data" error="Data yang dimasukkan harus berupa tanggal!" sqref="G30">
      <formula1>0</formula1>
      <formula2>2958465.99999999</formula2>
    </dataValidation>
    <dataValidation type="date" showErrorMessage="1" errorTitle="Kesalahan Jenis Data" error="Data yang dimasukkan harus berupa tanggal!" sqref="G31">
      <formula1>0</formula1>
      <formula2>2958465.99999999</formula2>
    </dataValidation>
    <dataValidation type="date" showErrorMessage="1" errorTitle="Kesalahan Jenis Data" error="Data yang dimasukkan harus berupa tanggal!" sqref="G32">
      <formula1>0</formula1>
      <formula2>2958465.99999999</formula2>
    </dataValidation>
    <dataValidation type="date" showErrorMessage="1" errorTitle="Kesalahan Jenis Data" error="Data yang dimasukkan harus berupa tanggal!" sqref="G33">
      <formula1>0</formula1>
      <formula2>2958465.99999999</formula2>
    </dataValidation>
    <dataValidation type="date" showErrorMessage="1" errorTitle="Kesalahan Jenis Data" error="Data yang dimasukkan harus berupa tanggal!" sqref="G34">
      <formula1>0</formula1>
      <formula2>2958465.99999999</formula2>
    </dataValidation>
    <dataValidation type="date" showErrorMessage="1" errorTitle="Kesalahan Jenis Data" error="Data yang dimasukkan harus berupa tanggal!" sqref="G35">
      <formula1>0</formula1>
      <formula2>2958465.99999999</formula2>
    </dataValidation>
    <dataValidation type="date" showErrorMessage="1" errorTitle="Kesalahan Jenis Data" error="Data yang dimasukkan harus berupa tanggal!" sqref="G36">
      <formula1>0</formula1>
      <formula2>2958465.99999999</formula2>
    </dataValidation>
    <dataValidation type="date" showErrorMessage="1" errorTitle="Kesalahan Jenis Data" error="Data yang dimasukkan harus berupa tanggal!" sqref="G37">
      <formula1>0</formula1>
      <formula2>2958465.99999999</formula2>
    </dataValidation>
    <dataValidation type="date" showErrorMessage="1" errorTitle="Kesalahan Jenis Data" error="Data yang dimasukkan harus berupa tanggal!" sqref="G38">
      <formula1>0</formula1>
      <formula2>2958465.99999999</formula2>
    </dataValidation>
    <dataValidation type="date" showErrorMessage="1" errorTitle="Kesalahan Jenis Data" error="Data yang dimasukkan harus berupa tanggal!" sqref="G39">
      <formula1>0</formula1>
      <formula2>2958465.99999999</formula2>
    </dataValidation>
    <dataValidation type="date" showErrorMessage="1" errorTitle="Kesalahan Jenis Data" error="Data yang dimasukkan harus berupa tanggal!" sqref="G40">
      <formula1>0</formula1>
      <formula2>2958465.99999999</formula2>
    </dataValidation>
    <dataValidation type="date" showErrorMessage="1" errorTitle="Kesalahan Jenis Data" error="Data yang dimasukkan harus berupa tanggal!" sqref="G41">
      <formula1>0</formula1>
      <formula2>2958465.99999999</formula2>
    </dataValidation>
    <dataValidation type="date" showErrorMessage="1" errorTitle="Kesalahan Jenis Data" error="Data yang dimasukkan harus berupa tanggal!" sqref="G42">
      <formula1>0</formula1>
      <formula2>2958465.99999999</formula2>
    </dataValidation>
    <dataValidation type="date" showErrorMessage="1" errorTitle="Kesalahan Jenis Data" error="Data yang dimasukkan harus berupa tanggal!" sqref="G43">
      <formula1>0</formula1>
      <formula2>2958465.99999999</formula2>
    </dataValidation>
    <dataValidation type="date" showErrorMessage="1" errorTitle="Kesalahan Jenis Data" error="Data yang dimasukkan harus berupa tanggal!" sqref="G44">
      <formula1>0</formula1>
      <formula2>2958465.99999999</formula2>
    </dataValidation>
    <dataValidation type="date" showErrorMessage="1" errorTitle="Kesalahan Jenis Data" error="Data yang dimasukkan harus berupa tanggal!" sqref="G45">
      <formula1>0</formula1>
      <formula2>2958465.99999999</formula2>
    </dataValidation>
    <dataValidation type="date" showErrorMessage="1" errorTitle="Kesalahan Jenis Data" error="Data yang dimasukkan harus berupa tanggal!" sqref="G46">
      <formula1>0</formula1>
      <formula2>2958465.99999999</formula2>
    </dataValidation>
    <dataValidation type="date" showErrorMessage="1" errorTitle="Kesalahan Jenis Data" error="Data yang dimasukkan harus berupa tanggal!" sqref="G47">
      <formula1>0</formula1>
      <formula2>2958465.99999999</formula2>
    </dataValidation>
    <dataValidation type="date" showErrorMessage="1" errorTitle="Kesalahan Jenis Data" error="Data yang dimasukkan harus berupa tanggal!" sqref="G48">
      <formula1>0</formula1>
      <formula2>2958465.99999999</formula2>
    </dataValidation>
    <dataValidation type="date" showErrorMessage="1" errorTitle="Kesalahan Jenis Data" error="Data yang dimasukkan harus berupa tanggal!" sqref="G49">
      <formula1>0</formula1>
      <formula2>2958465.99999999</formula2>
    </dataValidation>
    <dataValidation type="date" showErrorMessage="1" errorTitle="Kesalahan Jenis Data" error="Data yang dimasukkan harus berupa tanggal!" sqref="G50">
      <formula1>0</formula1>
      <formula2>2958465.99999999</formula2>
    </dataValidation>
    <dataValidation type="date" showErrorMessage="1" errorTitle="Kesalahan Jenis Data" error="Data yang dimasukkan harus berupa tanggal!" sqref="G51">
      <formula1>0</formula1>
      <formula2>2958465.99999999</formula2>
    </dataValidation>
    <dataValidation type="date" showErrorMessage="1" errorTitle="Kesalahan Jenis Data" error="Data yang dimasukkan harus berupa tanggal!" sqref="G52">
      <formula1>0</formula1>
      <formula2>2958465.99999999</formula2>
    </dataValidation>
    <dataValidation type="date" showErrorMessage="1" errorTitle="Kesalahan Jenis Data" error="Data yang dimasukkan harus berupa tanggal!" sqref="G53">
      <formula1>0</formula1>
      <formula2>2958465.99999999</formula2>
    </dataValidation>
    <dataValidation type="date" showErrorMessage="1" errorTitle="Kesalahan Jenis Data" error="Data yang dimasukkan harus berupa tanggal!" sqref="G54">
      <formula1>0</formula1>
      <formula2>2958465.99999999</formula2>
    </dataValidation>
    <dataValidation type="date" showErrorMessage="1" errorTitle="Kesalahan Jenis Data" error="Data yang dimasukkan harus berupa tanggal!" sqref="G55">
      <formula1>0</formula1>
      <formula2>2958465.99999999</formula2>
    </dataValidation>
    <dataValidation type="date" showErrorMessage="1" errorTitle="Kesalahan Jenis Data" error="Data yang dimasukkan harus berupa tanggal!" sqref="G56">
      <formula1>0</formula1>
      <formula2>2958465.99999999</formula2>
    </dataValidation>
    <dataValidation type="date" showErrorMessage="1" errorTitle="Kesalahan Jenis Data" error="Data yang dimasukkan harus berupa tanggal!" sqref="G57">
      <formula1>0</formula1>
      <formula2>2958465.99999999</formula2>
    </dataValidation>
    <dataValidation type="date" showErrorMessage="1" errorTitle="Kesalahan Jenis Data" error="Data yang dimasukkan harus berupa tanggal!" sqref="G58">
      <formula1>0</formula1>
      <formula2>2958465.99999999</formula2>
    </dataValidation>
    <dataValidation type="date" showErrorMessage="1" errorTitle="Kesalahan Jenis Data" error="Data yang dimasukkan harus berupa tanggal!" sqref="G59">
      <formula1>0</formula1>
      <formula2>2958465.99999999</formula2>
    </dataValidation>
    <dataValidation type="date" showErrorMessage="1" errorTitle="Kesalahan Jenis Data" error="Data yang dimasukkan harus berupa tanggal!" sqref="G60">
      <formula1>0</formula1>
      <formula2>2958465.99999999</formula2>
    </dataValidation>
    <dataValidation type="date" showErrorMessage="1" errorTitle="Kesalahan Jenis Data" error="Data yang dimasukkan harus berupa tanggal!" sqref="G61">
      <formula1>0</formula1>
      <formula2>2958465.99999999</formula2>
    </dataValidation>
    <dataValidation type="date" showErrorMessage="1" errorTitle="Kesalahan Jenis Data" error="Data yang dimasukkan harus berupa tanggal!" sqref="G62">
      <formula1>0</formula1>
      <formula2>2958465.99999999</formula2>
    </dataValidation>
    <dataValidation type="date" showErrorMessage="1" errorTitle="Kesalahan Jenis Data" error="Data yang dimasukkan harus berupa tanggal!" sqref="G63">
      <formula1>0</formula1>
      <formula2>2958465.99999999</formula2>
    </dataValidation>
    <dataValidation type="date" showErrorMessage="1" errorTitle="Kesalahan Jenis Data" error="Data yang dimasukkan harus berupa tanggal!" sqref="G64">
      <formula1>0</formula1>
      <formula2>2958465.99999999</formula2>
    </dataValidation>
    <dataValidation type="date" showErrorMessage="1" errorTitle="Kesalahan Jenis Data" error="Data yang dimasukkan harus berupa tanggal!" sqref="G65">
      <formula1>0</formula1>
      <formula2>2958465.99999999</formula2>
    </dataValidation>
    <dataValidation type="date" showErrorMessage="1" errorTitle="Kesalahan Jenis Data" error="Data yang dimasukkan harus berupa tanggal!" sqref="G66">
      <formula1>0</formula1>
      <formula2>2958465.99999999</formula2>
    </dataValidation>
    <dataValidation type="date" showErrorMessage="1" errorTitle="Kesalahan Jenis Data" error="Data yang dimasukkan harus berupa tanggal!" sqref="G67">
      <formula1>0</formula1>
      <formula2>2958465.99999999</formula2>
    </dataValidation>
    <dataValidation type="date" showErrorMessage="1" errorTitle="Kesalahan Jenis Data" error="Data yang dimasukkan harus berupa tanggal!" sqref="G68">
      <formula1>0</formula1>
      <formula2>2958465.99999999</formula2>
    </dataValidation>
    <dataValidation type="date" showErrorMessage="1" errorTitle="Kesalahan Jenis Data" error="Data yang dimasukkan harus berupa tanggal!" sqref="G69">
      <formula1>0</formula1>
      <formula2>2958465.99999999</formula2>
    </dataValidation>
    <dataValidation type="date" showErrorMessage="1" errorTitle="Kesalahan Jenis Data" error="Data yang dimasukkan harus berupa tanggal!" sqref="G70">
      <formula1>0</formula1>
      <formula2>2958465.99999999</formula2>
    </dataValidation>
    <dataValidation type="date" showErrorMessage="1" errorTitle="Kesalahan Jenis Data" error="Data yang dimasukkan harus berupa tanggal!" sqref="G71">
      <formula1>0</formula1>
      <formula2>2958465.99999999</formula2>
    </dataValidation>
    <dataValidation type="date" showErrorMessage="1" errorTitle="Kesalahan Jenis Data" error="Data yang dimasukkan harus berupa tanggal!" sqref="G72">
      <formula1>0</formula1>
      <formula2>2958465.99999999</formula2>
    </dataValidation>
    <dataValidation type="date" showErrorMessage="1" errorTitle="Kesalahan Jenis Data" error="Data yang dimasukkan harus berupa tanggal!" sqref="G73">
      <formula1>0</formula1>
      <formula2>2958465.99999999</formula2>
    </dataValidation>
    <dataValidation type="date" showErrorMessage="1" errorTitle="Kesalahan Jenis Data" error="Data yang dimasukkan harus berupa tanggal!" sqref="G74">
      <formula1>0</formula1>
      <formula2>2958465.99999999</formula2>
    </dataValidation>
    <dataValidation type="date" showErrorMessage="1" errorTitle="Kesalahan Jenis Data" error="Data yang dimasukkan harus berupa tanggal!" sqref="G75">
      <formula1>0</formula1>
      <formula2>2958465.99999999</formula2>
    </dataValidation>
    <dataValidation type="date" showErrorMessage="1" errorTitle="Kesalahan Jenis Data" error="Data yang dimasukkan harus berupa tanggal!" sqref="G76">
      <formula1>0</formula1>
      <formula2>2958465.99999999</formula2>
    </dataValidation>
    <dataValidation type="date" showErrorMessage="1" errorTitle="Kesalahan Jenis Data" error="Data yang dimasukkan harus berupa tanggal!" sqref="G77">
      <formula1>0</formula1>
      <formula2>2958465.99999999</formula2>
    </dataValidation>
    <dataValidation type="date" showErrorMessage="1" errorTitle="Kesalahan Jenis Data" error="Data yang dimasukkan harus berupa tanggal!" sqref="G78">
      <formula1>0</formula1>
      <formula2>2958465.99999999</formula2>
    </dataValidation>
    <dataValidation type="date" showErrorMessage="1" errorTitle="Kesalahan Jenis Data" error="Data yang dimasukkan harus berupa tanggal!" sqref="G79">
      <formula1>0</formula1>
      <formula2>2958465.99999999</formula2>
    </dataValidation>
    <dataValidation type="date" showErrorMessage="1" errorTitle="Kesalahan Jenis Data" error="Data yang dimasukkan harus berupa tanggal!" sqref="G80">
      <formula1>0</formula1>
      <formula2>2958465.99999999</formula2>
    </dataValidation>
    <dataValidation type="date" showErrorMessage="1" errorTitle="Kesalahan Jenis Data" error="Data yang dimasukkan harus berupa tanggal!" sqref="G81">
      <formula1>0</formula1>
      <formula2>2958465.99999999</formula2>
    </dataValidation>
    <dataValidation type="date" showErrorMessage="1" errorTitle="Kesalahan Jenis Data" error="Data yang dimasukkan harus berupa tanggal!" sqref="G82">
      <formula1>0</formula1>
      <formula2>2958465.99999999</formula2>
    </dataValidation>
    <dataValidation type="date" showErrorMessage="1" errorTitle="Kesalahan Jenis Data" error="Data yang dimasukkan harus berupa tanggal!" sqref="G83">
      <formula1>0</formula1>
      <formula2>2958465.99999999</formula2>
    </dataValidation>
    <dataValidation type="date" showErrorMessage="1" errorTitle="Kesalahan Jenis Data" error="Data yang dimasukkan harus berupa tanggal!" sqref="G84">
      <formula1>0</formula1>
      <formula2>2958465.99999999</formula2>
    </dataValidation>
    <dataValidation type="date" showErrorMessage="1" errorTitle="Kesalahan Jenis Data" error="Data yang dimasukkan harus berupa tanggal!" sqref="G85">
      <formula1>0</formula1>
      <formula2>2958465.99999999</formula2>
    </dataValidation>
    <dataValidation type="date" showErrorMessage="1" errorTitle="Kesalahan Jenis Data" error="Data yang dimasukkan harus berupa tanggal!" sqref="G86">
      <formula1>0</formula1>
      <formula2>2958465.99999999</formula2>
    </dataValidation>
    <dataValidation type="date" showErrorMessage="1" errorTitle="Kesalahan Jenis Data" error="Data yang dimasukkan harus berupa tanggal!" sqref="G87">
      <formula1>0</formula1>
      <formula2>2958465.99999999</formula2>
    </dataValidation>
    <dataValidation type="date" showErrorMessage="1" errorTitle="Kesalahan Jenis Data" error="Data yang dimasukkan harus berupa tanggal!" sqref="G88">
      <formula1>0</formula1>
      <formula2>2958465.99999999</formula2>
    </dataValidation>
    <dataValidation type="date" showErrorMessage="1" errorTitle="Kesalahan Jenis Data" error="Data yang dimasukkan harus berupa tanggal!" sqref="G89">
      <formula1>0</formula1>
      <formula2>2958465.99999999</formula2>
    </dataValidation>
    <dataValidation type="date" showErrorMessage="1" errorTitle="Kesalahan Jenis Data" error="Data yang dimasukkan harus berupa tanggal!" sqref="G90">
      <formula1>0</formula1>
      <formula2>2958465.99999999</formula2>
    </dataValidation>
    <dataValidation type="date" showErrorMessage="1" errorTitle="Kesalahan Jenis Data" error="Data yang dimasukkan harus berupa tanggal!" sqref="G91">
      <formula1>0</formula1>
      <formula2>2958465.99999999</formula2>
    </dataValidation>
    <dataValidation type="date" showErrorMessage="1" errorTitle="Kesalahan Jenis Data" error="Data yang dimasukkan harus berupa tanggal!" sqref="G92">
      <formula1>0</formula1>
      <formula2>2958465.99999999</formula2>
    </dataValidation>
    <dataValidation type="date" showErrorMessage="1" errorTitle="Kesalahan Jenis Data" error="Data yang dimasukkan harus berupa tanggal!" sqref="G93">
      <formula1>0</formula1>
      <formula2>2958465.99999999</formula2>
    </dataValidation>
    <dataValidation type="date" showErrorMessage="1" errorTitle="Kesalahan Jenis Data" error="Data yang dimasukkan harus berupa tanggal!" sqref="G94">
      <formula1>0</formula1>
      <formula2>2958465.99999999</formula2>
    </dataValidation>
    <dataValidation type="date" showErrorMessage="1" errorTitle="Kesalahan Jenis Data" error="Data yang dimasukkan harus berupa tanggal!" sqref="G95">
      <formula1>0</formula1>
      <formula2>2958465.99999999</formula2>
    </dataValidation>
    <dataValidation type="date" showErrorMessage="1" errorTitle="Kesalahan Jenis Data" error="Data yang dimasukkan harus berupa tanggal!" sqref="G96">
      <formula1>0</formula1>
      <formula2>2958465.99999999</formula2>
    </dataValidation>
    <dataValidation type="date" showErrorMessage="1" errorTitle="Kesalahan Jenis Data" error="Data yang dimasukkan harus berupa tanggal!" sqref="G97">
      <formula1>0</formula1>
      <formula2>2958465.99999999</formula2>
    </dataValidation>
    <dataValidation type="date" showErrorMessage="1" errorTitle="Kesalahan Jenis Data" error="Data yang dimasukkan harus berupa tanggal!" sqref="G98">
      <formula1>0</formula1>
      <formula2>2958465.99999999</formula2>
    </dataValidation>
    <dataValidation type="date" showErrorMessage="1" errorTitle="Kesalahan Jenis Data" error="Data yang dimasukkan harus berupa tanggal!" sqref="G99">
      <formula1>0</formula1>
      <formula2>2958465.99999999</formula2>
    </dataValidation>
    <dataValidation type="date" showErrorMessage="1" errorTitle="Kesalahan Jenis Data" error="Data yang dimasukkan harus berupa tanggal!" sqref="G100">
      <formula1>0</formula1>
      <formula2>2958465.99999999</formula2>
    </dataValidation>
    <dataValidation type="date" showErrorMessage="1" errorTitle="Kesalahan Jenis Data" error="Data yang dimasukkan harus berupa tanggal!" sqref="G101">
      <formula1>0</formula1>
      <formula2>2958465.99999999</formula2>
    </dataValidation>
    <dataValidation type="date" showErrorMessage="1" errorTitle="Kesalahan Jenis Data" error="Data yang dimasukkan harus berupa tanggal!" sqref="G102">
      <formula1>0</formula1>
      <formula2>2958465.99999999</formula2>
    </dataValidation>
    <dataValidation type="date" showErrorMessage="1" errorTitle="Kesalahan Jenis Data" error="Data yang dimasukkan harus berupa tanggal!" sqref="G103">
      <formula1>0</formula1>
      <formula2>2958465.99999999</formula2>
    </dataValidation>
    <dataValidation type="date" showErrorMessage="1" errorTitle="Kesalahan Jenis Data" error="Data yang dimasukkan harus berupa tanggal!" sqref="G104">
      <formula1>0</formula1>
      <formula2>2958465.99999999</formula2>
    </dataValidation>
    <dataValidation type="date" showErrorMessage="1" errorTitle="Kesalahan Jenis Data" error="Data yang dimasukkan harus berupa tanggal!" sqref="G105">
      <formula1>0</formula1>
      <formula2>2958465.99999999</formula2>
    </dataValidation>
    <dataValidation type="date" showErrorMessage="1" errorTitle="Kesalahan Jenis Data" error="Data yang dimasukkan harus berupa tanggal!" sqref="G106">
      <formula1>0</formula1>
      <formula2>2958465.99999999</formula2>
    </dataValidation>
    <dataValidation type="date" showErrorMessage="1" errorTitle="Kesalahan Jenis Data" error="Data yang dimasukkan harus berupa tanggal!" sqref="G107">
      <formula1>0</formula1>
      <formula2>2958465.99999999</formula2>
    </dataValidation>
    <dataValidation type="date" showErrorMessage="1" errorTitle="Kesalahan Jenis Data" error="Data yang dimasukkan harus berupa tanggal!" sqref="G108">
      <formula1>0</formula1>
      <formula2>2958465.99999999</formula2>
    </dataValidation>
    <dataValidation type="date" showErrorMessage="1" errorTitle="Kesalahan Jenis Data" error="Data yang dimasukkan harus berupa tanggal!" sqref="G109">
      <formula1>0</formula1>
      <formula2>2958465.99999999</formula2>
    </dataValidation>
    <dataValidation type="date" showErrorMessage="1" errorTitle="Kesalahan Jenis Data" error="Data yang dimasukkan harus berupa tanggal!" sqref="G110">
      <formula1>0</formula1>
      <formula2>2958465.99999999</formula2>
    </dataValidation>
    <dataValidation type="date" showErrorMessage="1" errorTitle="Kesalahan Jenis Data" error="Data yang dimasukkan harus berupa tanggal!" sqref="G111">
      <formula1>0</formula1>
      <formula2>2958465.99999999</formula2>
    </dataValidation>
    <dataValidation type="date" showErrorMessage="1" errorTitle="Kesalahan Jenis Data" error="Data yang dimasukkan harus berupa tanggal!" sqref="G112">
      <formula1>0</formula1>
      <formula2>2958465.99999999</formula2>
    </dataValidation>
    <dataValidation type="date" showErrorMessage="1" errorTitle="Kesalahan Jenis Data" error="Data yang dimasukkan harus berupa tanggal!" sqref="G113">
      <formula1>0</formula1>
      <formula2>2958465.99999999</formula2>
    </dataValidation>
    <dataValidation type="date" showErrorMessage="1" errorTitle="Kesalahan Jenis Data" error="Data yang dimasukkan harus berupa tanggal!" sqref="G114">
      <formula1>0</formula1>
      <formula2>2958465.99999999</formula2>
    </dataValidation>
    <dataValidation type="date" showErrorMessage="1" errorTitle="Kesalahan Jenis Data" error="Data yang dimasukkan harus berupa tanggal!" sqref="G115">
      <formula1>0</formula1>
      <formula2>2958465.99999999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0871AE-626B-4A1D-A958-3C58572C5C66}"/>
</file>

<file path=customXml/itemProps2.xml><?xml version="1.0" encoding="utf-8"?>
<ds:datastoreItem xmlns:ds="http://schemas.openxmlformats.org/officeDocument/2006/customXml" ds:itemID="{0B9CE49E-1DF1-41C4-8FB1-E350CCB65A95}"/>
</file>

<file path=customXml/itemProps3.xml><?xml version="1.0" encoding="utf-8"?>
<ds:datastoreItem xmlns:ds="http://schemas.openxmlformats.org/officeDocument/2006/customXml" ds:itemID="{F64AF467-ADD0-4E89-AFA6-5D661553F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</vt:i4>
      </vt:variant>
    </vt:vector>
  </HeadingPairs>
  <TitlesOfParts>
    <vt:vector size="55" baseType="lpstr">
      <vt:lpstr>Data Umum</vt:lpstr>
      <vt:lpstr>Cover</vt:lpstr>
      <vt:lpstr>Validasi</vt:lpstr>
      <vt:lpstr>PPUSY</vt:lpstr>
      <vt:lpstr>Surat Pernyataan (TH)</vt:lpstr>
      <vt:lpstr>Surat Pernyataan (TW)</vt:lpstr>
      <vt:lpstr>Pernyataan DPS</vt:lpstr>
      <vt:lpstr>PPSRESU</vt:lpstr>
      <vt:lpstr>PPURES</vt:lpstr>
      <vt:lpstr>RPPRES-1</vt:lpstr>
      <vt:lpstr>RPPRES-2</vt:lpstr>
      <vt:lpstr>LPKRE-SY</vt:lpstr>
      <vt:lpstr>LKKRE</vt:lpstr>
      <vt:lpstr>LAK-R</vt:lpstr>
      <vt:lpstr>LPDR</vt:lpstr>
      <vt:lpstr>DP-R</vt:lpstr>
      <vt:lpstr>DP-R-1</vt:lpstr>
      <vt:lpstr>DTUR</vt:lpstr>
      <vt:lpstr>DTUR-1</vt:lpstr>
      <vt:lpstr>RPTSRES</vt:lpstr>
      <vt:lpstr>RIKSTSRU</vt:lpstr>
      <vt:lpstr>RKUS-RE</vt:lpstr>
      <vt:lpstr>RKRKRES</vt:lpstr>
      <vt:lpstr>RKRKRES1</vt:lpstr>
      <vt:lpstr>RKLRES</vt:lpstr>
      <vt:lpstr>RPSYA-R</vt:lpstr>
      <vt:lpstr>RPARES</vt:lpstr>
      <vt:lpstr>RPSB-R</vt:lpstr>
      <vt:lpstr>RPSC-R</vt:lpstr>
      <vt:lpstr>RSAS-R</vt:lpstr>
      <vt:lpstr>RSAS1-R</vt:lpstr>
      <vt:lpstr>RSAS2-R</vt:lpstr>
      <vt:lpstr>RSAS3-R</vt:lpstr>
      <vt:lpstr>RSAS4-R</vt:lpstr>
      <vt:lpstr>RSOS-R</vt:lpstr>
      <vt:lpstr>RA110-R</vt:lpstr>
      <vt:lpstr>RA120-R</vt:lpstr>
      <vt:lpstr>RA130-R</vt:lpstr>
      <vt:lpstr>RA210-RU</vt:lpstr>
      <vt:lpstr>RA220-R</vt:lpstr>
      <vt:lpstr>RA221-R</vt:lpstr>
      <vt:lpstr>RA222-R</vt:lpstr>
      <vt:lpstr>RA310-R</vt:lpstr>
      <vt:lpstr>RA310-1-R</vt:lpstr>
      <vt:lpstr>RB110-R</vt:lpstr>
      <vt:lpstr>RC110-RE</vt:lpstr>
      <vt:lpstr>RD110-R</vt:lpstr>
      <vt:lpstr>RD-120</vt:lpstr>
      <vt:lpstr>Kriteria Kep Asing</vt:lpstr>
      <vt:lpstr>% Kep Asing</vt:lpstr>
      <vt:lpstr>'% Kep Asing'!Print_Area</vt:lpstr>
      <vt:lpstr>'Kriteria Kep Asing'!Print_Area</vt:lpstr>
      <vt:lpstr>'Pernyataan DPS'!Print_Area</vt:lpstr>
      <vt:lpstr>'Surat Pernyataan (TH)'!Print_Area</vt:lpstr>
      <vt:lpstr>'Surat Pernyataan (TW)'!Print_Area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 Saputra</dc:creator>
  <cp:lastModifiedBy>Vastunadia Yusnasari</cp:lastModifiedBy>
  <dcterms:created xsi:type="dcterms:W3CDTF">2019-03-04T06:58:24Z</dcterms:created>
  <dcterms:modified xsi:type="dcterms:W3CDTF">2019-05-22T05:04:03Z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